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vali\Desktop\Novas Planilhas Site\"/>
    </mc:Choice>
  </mc:AlternateContent>
  <xr:revisionPtr revIDLastSave="0" documentId="8_{C2DF6207-6D10-4A86-AD96-2AEB2EF86EAF}" xr6:coauthVersionLast="47" xr6:coauthVersionMax="47" xr10:uidLastSave="{00000000-0000-0000-0000-000000000000}"/>
  <bookViews>
    <workbookView xWindow="-120" yWindow="-120" windowWidth="29040" windowHeight="16440" tabRatio="531" xr2:uid="{00000000-000D-0000-FFFF-FFFF00000000}"/>
  </bookViews>
  <sheets>
    <sheet name="Menu" sheetId="1" r:id="rId1"/>
    <sheet name="Simulação Mg de Contribuição" sheetId="2" r:id="rId2"/>
  </sheets>
  <definedNames>
    <definedName name="_xlfn_IFERROR">none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" i="1" l="1"/>
  <c r="D28" i="2"/>
  <c r="C19" i="2"/>
  <c r="C23" i="2" s="1"/>
  <c r="AI14" i="2"/>
  <c r="C11" i="2"/>
  <c r="D10" i="2"/>
  <c r="D22" i="2" s="1"/>
  <c r="R7" i="2"/>
  <c r="AJ19" i="2" s="1"/>
  <c r="R5" i="2"/>
  <c r="AG19" i="2" s="1"/>
  <c r="AG20" i="2" s="1"/>
  <c r="E10" i="2" l="1"/>
  <c r="D12" i="2"/>
  <c r="D13" i="2"/>
  <c r="D14" i="2"/>
  <c r="D15" i="2"/>
  <c r="D16" i="2"/>
  <c r="D21" i="2"/>
  <c r="D11" i="2"/>
  <c r="E11" i="2" s="1"/>
  <c r="D20" i="2"/>
  <c r="AG21" i="2"/>
  <c r="E28" i="2"/>
  <c r="F28" i="2" s="1"/>
  <c r="AF20" i="2"/>
  <c r="D17" i="2"/>
  <c r="E17" i="2" s="1"/>
  <c r="D19" i="2" l="1"/>
  <c r="D23" i="2" s="1"/>
  <c r="E23" i="2" s="1"/>
  <c r="F23" i="2" s="1"/>
  <c r="R6" i="2" s="1"/>
  <c r="AH19" i="2" s="1"/>
  <c r="AI19" i="2" s="1"/>
  <c r="AK19" i="2" s="1"/>
  <c r="E19" i="2"/>
  <c r="AH20" i="2"/>
  <c r="AI20" i="2" s="1"/>
  <c r="AJ20" i="2"/>
  <c r="AF21" i="2"/>
  <c r="AG22" i="2"/>
  <c r="L6" i="2"/>
  <c r="L7" i="2" s="1"/>
  <c r="D25" i="2"/>
  <c r="AK20" i="2" l="1"/>
  <c r="F25" i="2"/>
  <c r="E25" i="2"/>
  <c r="D30" i="2"/>
  <c r="E30" i="2" s="1"/>
  <c r="F30" i="2" s="1"/>
  <c r="AG23" i="2"/>
  <c r="AH21" i="2"/>
  <c r="AI21" i="2" s="1"/>
  <c r="AJ21" i="2"/>
  <c r="AF22" i="2"/>
  <c r="AG24" i="2" l="1"/>
  <c r="AH22" i="2"/>
  <c r="AI22" i="2" s="1"/>
  <c r="AJ22" i="2"/>
  <c r="AK22" i="2" s="1"/>
  <c r="AF23" i="2"/>
  <c r="AK21" i="2"/>
  <c r="AH23" i="2" l="1"/>
  <c r="AI23" i="2" s="1"/>
  <c r="AJ23" i="2"/>
  <c r="AF24" i="2"/>
  <c r="AG25" i="2"/>
  <c r="AK23" i="2" l="1"/>
  <c r="AG26" i="2"/>
  <c r="AJ24" i="2"/>
  <c r="AH24" i="2"/>
  <c r="AI24" i="2" s="1"/>
  <c r="AF25" i="2"/>
  <c r="AF26" i="2" l="1"/>
  <c r="AJ25" i="2"/>
  <c r="AH25" i="2"/>
  <c r="AI25" i="2" s="1"/>
  <c r="AK24" i="2"/>
  <c r="AG27" i="2"/>
  <c r="AG28" i="2" l="1"/>
  <c r="AK25" i="2"/>
  <c r="AJ26" i="2"/>
  <c r="AH26" i="2"/>
  <c r="AI26" i="2" s="1"/>
  <c r="AF27" i="2"/>
  <c r="AJ27" i="2" l="1"/>
  <c r="AH27" i="2"/>
  <c r="AI27" i="2" s="1"/>
  <c r="AF28" i="2"/>
  <c r="AK26" i="2"/>
  <c r="AG29" i="2"/>
  <c r="AG30" i="2" l="1"/>
  <c r="AH28" i="2"/>
  <c r="AI28" i="2" s="1"/>
  <c r="AJ28" i="2"/>
  <c r="AF29" i="2"/>
  <c r="AK27" i="2"/>
  <c r="AK28" i="2" l="1"/>
  <c r="AG31" i="2"/>
  <c r="AJ29" i="2"/>
  <c r="AH29" i="2"/>
  <c r="AI29" i="2" s="1"/>
  <c r="AF30" i="2"/>
  <c r="AF31" i="2" l="1"/>
  <c r="AJ30" i="2"/>
  <c r="AH30" i="2"/>
  <c r="AI30" i="2" s="1"/>
  <c r="AK29" i="2"/>
  <c r="AG32" i="2"/>
  <c r="AG33" i="2" l="1"/>
  <c r="AK30" i="2"/>
  <c r="AJ31" i="2"/>
  <c r="AH31" i="2"/>
  <c r="AI31" i="2" s="1"/>
  <c r="AF32" i="2"/>
  <c r="AF33" i="2" l="1"/>
  <c r="AJ32" i="2"/>
  <c r="AH32" i="2"/>
  <c r="AI32" i="2" s="1"/>
  <c r="AK31" i="2"/>
  <c r="AG34" i="2"/>
  <c r="AG35" i="2" l="1"/>
  <c r="AK32" i="2"/>
  <c r="AF34" i="2"/>
  <c r="AJ33" i="2"/>
  <c r="AH33" i="2"/>
  <c r="AI33" i="2" s="1"/>
  <c r="AK33" i="2" l="1"/>
  <c r="AF35" i="2"/>
  <c r="AJ34" i="2"/>
  <c r="AH34" i="2"/>
  <c r="AI34" i="2" s="1"/>
  <c r="AG36" i="2"/>
  <c r="AG37" i="2" l="1"/>
  <c r="AK34" i="2"/>
  <c r="AJ35" i="2"/>
  <c r="AH35" i="2"/>
  <c r="AI35" i="2" s="1"/>
  <c r="AF36" i="2"/>
  <c r="AF37" i="2" l="1"/>
  <c r="AJ36" i="2"/>
  <c r="AH36" i="2"/>
  <c r="AI36" i="2" s="1"/>
  <c r="AK35" i="2"/>
  <c r="AG38" i="2"/>
  <c r="AG39" i="2" l="1"/>
  <c r="AK36" i="2"/>
  <c r="AJ37" i="2"/>
  <c r="AF38" i="2"/>
  <c r="AH37" i="2"/>
  <c r="AI37" i="2" s="1"/>
  <c r="AF39" i="2" l="1"/>
  <c r="AJ38" i="2"/>
  <c r="AH38" i="2"/>
  <c r="AI38" i="2" s="1"/>
  <c r="AK37" i="2"/>
  <c r="AG40" i="2"/>
  <c r="AJ39" i="2" l="1"/>
  <c r="AH39" i="2"/>
  <c r="AI39" i="2" s="1"/>
  <c r="AF40" i="2"/>
  <c r="AG41" i="2"/>
  <c r="AK38" i="2"/>
  <c r="AG42" i="2" l="1"/>
  <c r="AF41" i="2"/>
  <c r="AJ40" i="2"/>
  <c r="AH40" i="2"/>
  <c r="AI40" i="2" s="1"/>
  <c r="AK39" i="2"/>
  <c r="AK40" i="2" l="1"/>
  <c r="AJ41" i="2"/>
  <c r="AH41" i="2"/>
  <c r="AI41" i="2" s="1"/>
  <c r="AF42" i="2"/>
  <c r="AG43" i="2"/>
  <c r="AF43" i="2" l="1"/>
  <c r="AJ42" i="2"/>
  <c r="AH42" i="2"/>
  <c r="AI42" i="2" s="1"/>
  <c r="AG44" i="2"/>
  <c r="AK41" i="2"/>
  <c r="AG45" i="2" l="1"/>
  <c r="AK42" i="2"/>
  <c r="AJ43" i="2"/>
  <c r="AF44" i="2"/>
  <c r="AH43" i="2"/>
  <c r="AI43" i="2" s="1"/>
  <c r="AF45" i="2" l="1"/>
  <c r="AJ44" i="2"/>
  <c r="AH44" i="2"/>
  <c r="AI44" i="2" s="1"/>
  <c r="AK43" i="2"/>
  <c r="AG46" i="2"/>
  <c r="AG47" i="2" l="1"/>
  <c r="AK44" i="2"/>
  <c r="AJ45" i="2"/>
  <c r="AH45" i="2"/>
  <c r="AI45" i="2" s="1"/>
  <c r="AF46" i="2"/>
  <c r="AF47" i="2" l="1"/>
  <c r="AJ46" i="2"/>
  <c r="AH46" i="2"/>
  <c r="AI46" i="2" s="1"/>
  <c r="AK45" i="2"/>
  <c r="AK46" i="2" l="1"/>
  <c r="AJ47" i="2"/>
  <c r="AH47" i="2"/>
  <c r="AI47" i="2" s="1"/>
  <c r="AK47" i="2" l="1"/>
</calcChain>
</file>

<file path=xl/sharedStrings.xml><?xml version="1.0" encoding="utf-8"?>
<sst xmlns="http://schemas.openxmlformats.org/spreadsheetml/2006/main" count="53" uniqueCount="49">
  <si>
    <t>VALINI CONSULTING</t>
  </si>
  <si>
    <t>Ferramentas de Análise Financeira</t>
  </si>
  <si>
    <t>▶   Simulação  ·  Margem de Contribuição</t>
  </si>
  <si>
    <t>www.valini.com.br</t>
  </si>
  <si>
    <t>VALINI CONSULTING  ·  Análise de Margem de Contribuição</t>
  </si>
  <si>
    <t>Células Editáveis  ▼</t>
  </si>
  <si>
    <t>Incremento Unidades eixo x</t>
  </si>
  <si>
    <t>ANÁLISE DE MARGEM DE CONTRIBUIÇÃO</t>
  </si>
  <si>
    <t>Custos e Despesas Fixas</t>
  </si>
  <si>
    <t>CDF</t>
  </si>
  <si>
    <t>Ponto de Equilíbrio em Unidades</t>
  </si>
  <si>
    <t>Custos Variável por Unidade</t>
  </si>
  <si>
    <t>CVU</t>
  </si>
  <si>
    <t>Descrição</t>
  </si>
  <si>
    <t>% s/Receita</t>
  </si>
  <si>
    <t>Valor (R$)</t>
  </si>
  <si>
    <t>% Receita</t>
  </si>
  <si>
    <t>R$/unidade</t>
  </si>
  <si>
    <t>Ponto de Equilíbrio em R$</t>
  </si>
  <si>
    <t>Preço Unitário de Vendas</t>
  </si>
  <si>
    <t>PU</t>
  </si>
  <si>
    <t>Preço Unitário</t>
  </si>
  <si>
    <t>Quantidade Vendida</t>
  </si>
  <si>
    <t>Valor das vendas</t>
  </si>
  <si>
    <t>(-) Impostos sobre Vendas</t>
  </si>
  <si>
    <t xml:space="preserve">     ICMS</t>
  </si>
  <si>
    <t xml:space="preserve">     PIS</t>
  </si>
  <si>
    <t xml:space="preserve">     COFINS</t>
  </si>
  <si>
    <t>Eixo x incremento</t>
  </si>
  <si>
    <t xml:space="preserve">     ISS</t>
  </si>
  <si>
    <t xml:space="preserve">     SIMPLES</t>
  </si>
  <si>
    <t>(-) Custo Variável de Produção</t>
  </si>
  <si>
    <t>QT</t>
  </si>
  <si>
    <t>CDU</t>
  </si>
  <si>
    <t>CUSTOS TOTAIS</t>
  </si>
  <si>
    <t>VENDAS</t>
  </si>
  <si>
    <t>LUCRO</t>
  </si>
  <si>
    <t>(-) Despesas Variáveis de Vendas</t>
  </si>
  <si>
    <t xml:space="preserve">      Comissão</t>
  </si>
  <si>
    <t xml:space="preserve">      Fretes</t>
  </si>
  <si>
    <t xml:space="preserve">      Verba de Propaganda e Promoção</t>
  </si>
  <si>
    <t>(-) Custos Variáveis Totais</t>
  </si>
  <si>
    <t>un</t>
  </si>
  <si>
    <t>Margem de Contribuição</t>
  </si>
  <si>
    <t>(-) Custos fixos de produção (Incluido Depreciação)</t>
  </si>
  <si>
    <t>(-) Despesas fixas administrativas e comerciais</t>
  </si>
  <si>
    <t>Total de Despesas e Custos Fixos</t>
  </si>
  <si>
    <t>Income Before Taxes</t>
  </si>
  <si>
    <t>Planilha para efeito didático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</si>
</sst>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%"/>
    <numFmt numFmtId="165" formatCode=";;;"/>
    <numFmt numFmtId="166" formatCode="&quot;R$ &quot;#,##0.00"/>
    <numFmt numFmtId="167" formatCode="\$#,##0_);&quot;($&quot;#,##0\)"/>
    <numFmt numFmtId="168" formatCode="&quot;R$ &quot;#,##0;[Red]&quot;-R$ &quot;#,##0"/>
  </numFmts>
  <fonts count="27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color rgb="FF1A1F5E"/>
      <name val="Calibri"/>
      <family val="2"/>
    </font>
    <font>
      <b/>
      <sz val="18"/>
      <color rgb="FFFFFFFF"/>
      <name val="Calibri"/>
      <family val="2"/>
    </font>
    <font>
      <i/>
      <sz val="10"/>
      <color rgb="FFE87722"/>
      <name val="Calibri"/>
      <family val="2"/>
    </font>
    <font>
      <b/>
      <sz val="14"/>
      <color rgb="FFFFFFFF"/>
      <name val="Calibri"/>
      <family val="2"/>
    </font>
    <font>
      <i/>
      <sz val="9"/>
      <color rgb="FFE87722"/>
      <name val="Calibri"/>
      <family val="2"/>
    </font>
    <font>
      <i/>
      <sz val="9"/>
      <color rgb="FF555555"/>
      <name val="Calibri"/>
      <family val="2"/>
    </font>
    <font>
      <sz val="10"/>
      <name val="Cambria"/>
      <family val="1"/>
      <charset val="1"/>
    </font>
    <font>
      <b/>
      <sz val="13"/>
      <color rgb="FFFFFFFF"/>
      <name val="Calibri"/>
      <family val="2"/>
    </font>
    <font>
      <b/>
      <sz val="9"/>
      <color rgb="FFE87722"/>
      <name val="Calibri"/>
      <family val="2"/>
    </font>
    <font>
      <b/>
      <sz val="11"/>
      <color rgb="FF8B4000"/>
      <name val="Calibri"/>
      <family val="2"/>
    </font>
    <font>
      <sz val="9"/>
      <color rgb="FF555555"/>
      <name val="Calibri"/>
      <family val="2"/>
    </font>
    <font>
      <b/>
      <sz val="11"/>
      <color rgb="FF1A1F5E"/>
      <name val="Calibri"/>
      <family val="2"/>
    </font>
    <font>
      <b/>
      <sz val="9"/>
      <color rgb="FF1A1F5E"/>
      <name val="Calibri"/>
      <family val="2"/>
    </font>
    <font>
      <b/>
      <sz val="11"/>
      <color rgb="FFE87722"/>
      <name val="Calibri"/>
      <family val="2"/>
    </font>
    <font>
      <b/>
      <sz val="9"/>
      <color rgb="FFFFFFFF"/>
      <name val="Calibri"/>
      <family val="2"/>
    </font>
    <font>
      <b/>
      <sz val="10"/>
      <color rgb="FF1A1F5E"/>
      <name val="Calibri"/>
      <family val="2"/>
    </font>
    <font>
      <i/>
      <sz val="10"/>
      <color rgb="FF1A1F5E"/>
      <name val="Calibri"/>
      <family val="2"/>
    </font>
    <font>
      <sz val="9"/>
      <color rgb="FF1A1F5E"/>
      <name val="Calibri"/>
      <family val="2"/>
    </font>
    <font>
      <b/>
      <sz val="10"/>
      <color rgb="FF1A4A8A"/>
      <name val="Calibri"/>
      <family val="2"/>
    </font>
    <font>
      <b/>
      <sz val="10"/>
      <color rgb="FF8B4000"/>
      <name val="Calibri"/>
      <family val="2"/>
    </font>
    <font>
      <b/>
      <sz val="10"/>
      <color rgb="FF0F3A0F"/>
      <name val="Calibri"/>
      <family val="2"/>
    </font>
    <font>
      <u/>
      <sz val="11"/>
      <color theme="10"/>
      <name val="Calibri"/>
      <family val="2"/>
      <charset val="1"/>
    </font>
    <font>
      <u/>
      <sz val="24"/>
      <color theme="0"/>
      <name val="Calibri"/>
      <family val="2"/>
      <charset val="1"/>
    </font>
    <font>
      <i/>
      <sz val="9"/>
      <color theme="0"/>
      <name val="Calibri"/>
      <family val="2"/>
    </font>
    <font>
      <b/>
      <sz val="10"/>
      <color theme="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3366"/>
        <bgColor rgb="FF1A1F5E"/>
      </patternFill>
    </fill>
    <fill>
      <patternFill patternType="solid">
        <fgColor rgb="FF1A1F5E"/>
        <bgColor rgb="FF0A0F3A"/>
      </patternFill>
    </fill>
    <fill>
      <patternFill patternType="solid">
        <fgColor rgb="FFF5F6FA"/>
        <bgColor rgb="FFECEEF6"/>
      </patternFill>
    </fill>
    <fill>
      <patternFill patternType="solid">
        <fgColor rgb="FFE87722"/>
        <bgColor rgb="FFFF6600"/>
      </patternFill>
    </fill>
    <fill>
      <patternFill patternType="solid">
        <fgColor rgb="FF1A4A8A"/>
        <bgColor rgb="FF003366"/>
      </patternFill>
    </fill>
    <fill>
      <patternFill patternType="solid">
        <fgColor rgb="FFECEEF6"/>
        <bgColor rgb="FFF5F6FA"/>
      </patternFill>
    </fill>
    <fill>
      <patternFill patternType="solid">
        <fgColor rgb="FFFFF4E6"/>
        <bgColor rgb="FFF5F6FA"/>
      </patternFill>
    </fill>
    <fill>
      <patternFill patternType="solid">
        <fgColor rgb="FFFFFFFF"/>
        <bgColor rgb="FFF5F6FA"/>
      </patternFill>
    </fill>
    <fill>
      <patternFill patternType="solid">
        <fgColor rgb="FFD8DBF0"/>
        <bgColor rgb="FFCACDD8"/>
      </patternFill>
    </fill>
    <fill>
      <patternFill patternType="solid">
        <fgColor rgb="FFBFC9E8"/>
        <bgColor rgb="FFCACDD8"/>
      </patternFill>
    </fill>
    <fill>
      <patternFill patternType="solid">
        <fgColor rgb="FFC8E6C9"/>
        <bgColor rgb="FFD8DBF0"/>
      </patternFill>
    </fill>
    <fill>
      <patternFill patternType="solid">
        <fgColor rgb="FF002060"/>
        <bgColor rgb="FFECEEF6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A0F3A"/>
      </patternFill>
    </fill>
    <fill>
      <patternFill patternType="solid">
        <fgColor rgb="FF002060"/>
        <bgColor rgb="FFFF6600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E87722"/>
      </bottom>
      <diagonal/>
    </border>
    <border>
      <left style="thin">
        <color rgb="FF0A0F3A"/>
      </left>
      <right style="thin">
        <color rgb="FF0A0F3A"/>
      </right>
      <top/>
      <bottom style="medium">
        <color rgb="FFE87722"/>
      </bottom>
      <diagonal/>
    </border>
    <border>
      <left style="thin">
        <color rgb="FFCACDD8"/>
      </left>
      <right style="thin">
        <color rgb="FFCACDD8"/>
      </right>
      <top style="thin">
        <color rgb="FFCACDD8"/>
      </top>
      <bottom style="thin">
        <color rgb="FFCACDD8"/>
      </bottom>
      <diagonal/>
    </border>
    <border>
      <left style="thin">
        <color rgb="FFCACDD8"/>
      </left>
      <right style="thin">
        <color rgb="FFCACDD8"/>
      </right>
      <top/>
      <bottom style="thin">
        <color rgb="FFCACDD8"/>
      </bottom>
      <diagonal/>
    </border>
    <border>
      <left style="thin">
        <color rgb="FFCACDD8"/>
      </left>
      <right style="thin">
        <color rgb="FFCACDD8"/>
      </right>
      <top/>
      <bottom style="medium">
        <color rgb="FFE87722"/>
      </bottom>
      <diagonal/>
    </border>
    <border>
      <left style="medium">
        <color rgb="FF1A1F5E"/>
      </left>
      <right style="thin">
        <color rgb="FFCACDD8"/>
      </right>
      <top style="medium">
        <color rgb="FF1A1F5E"/>
      </top>
      <bottom style="medium">
        <color rgb="FF1A1F5E"/>
      </bottom>
      <diagonal/>
    </border>
    <border>
      <left style="thin">
        <color rgb="FFCACDD8"/>
      </left>
      <right style="thin">
        <color rgb="FFCACDD8"/>
      </right>
      <top style="medium">
        <color rgb="FF1A1F5E"/>
      </top>
      <bottom style="medium">
        <color rgb="FF1A1F5E"/>
      </bottom>
      <diagonal/>
    </border>
    <border>
      <left/>
      <right style="medium">
        <color rgb="FF1A1F5E"/>
      </right>
      <top style="medium">
        <color rgb="FF1A1F5E"/>
      </top>
      <bottom style="medium">
        <color rgb="FF1A1F5E"/>
      </bottom>
      <diagonal/>
    </border>
    <border>
      <left style="thin">
        <color rgb="FFCACDD8"/>
      </left>
      <right/>
      <top style="medium">
        <color rgb="FF1A1F5E"/>
      </top>
      <bottom style="medium">
        <color rgb="FF1A1F5E"/>
      </bottom>
      <diagonal/>
    </border>
  </borders>
  <cellStyleXfs count="3">
    <xf numFmtId="0" fontId="0" fillId="0" borderId="0"/>
    <xf numFmtId="0" fontId="23" fillId="0" borderId="0" applyNumberFormat="0" applyFill="0" applyBorder="0" applyAlignment="0" applyProtection="0"/>
    <xf numFmtId="9" fontId="1" fillId="0" borderId="0" applyBorder="0" applyAlignment="0" applyProtection="0"/>
  </cellStyleXfs>
  <cellXfs count="92">
    <xf numFmtId="0" fontId="0" fillId="0" borderId="0" xfId="0"/>
    <xf numFmtId="0" fontId="2" fillId="4" borderId="0" xfId="0" applyFont="1" applyFill="1" applyProtection="1">
      <protection hidden="1"/>
    </xf>
    <xf numFmtId="0" fontId="2" fillId="4" borderId="0" xfId="0" applyFont="1" applyFill="1"/>
    <xf numFmtId="0" fontId="0" fillId="2" borderId="0" xfId="0" applyFill="1"/>
    <xf numFmtId="0" fontId="2" fillId="3" borderId="0" xfId="0" applyFont="1" applyFill="1"/>
    <xf numFmtId="0" fontId="0" fillId="4" borderId="0" xfId="0" applyFill="1"/>
    <xf numFmtId="0" fontId="2" fillId="5" borderId="0" xfId="0" applyFont="1" applyFill="1"/>
    <xf numFmtId="0" fontId="8" fillId="0" borderId="0" xfId="0" applyFont="1" applyProtection="1">
      <protection hidden="1"/>
    </xf>
    <xf numFmtId="164" fontId="8" fillId="0" borderId="0" xfId="0" applyNumberFormat="1" applyFont="1" applyProtection="1">
      <protection hidden="1"/>
    </xf>
    <xf numFmtId="165" fontId="8" fillId="0" borderId="0" xfId="0" applyNumberFormat="1" applyFont="1" applyProtection="1">
      <protection hidden="1"/>
    </xf>
    <xf numFmtId="0" fontId="9" fillId="3" borderId="0" xfId="0" applyFont="1" applyFill="1" applyAlignment="1">
      <alignment horizontal="left" vertical="center"/>
    </xf>
    <xf numFmtId="0" fontId="10" fillId="3" borderId="0" xfId="0" applyFont="1" applyFill="1" applyAlignment="1" applyProtection="1">
      <alignment horizontal="right" vertical="center"/>
      <protection hidden="1"/>
    </xf>
    <xf numFmtId="0" fontId="2" fillId="3" borderId="0" xfId="0" applyFont="1" applyFill="1" applyProtection="1">
      <protection locked="0"/>
    </xf>
    <xf numFmtId="164" fontId="2" fillId="4" borderId="0" xfId="0" applyNumberFormat="1" applyFont="1" applyFill="1" applyProtection="1">
      <protection hidden="1"/>
    </xf>
    <xf numFmtId="165" fontId="2" fillId="4" borderId="0" xfId="0" applyNumberFormat="1" applyFont="1" applyFill="1" applyProtection="1">
      <protection hidden="1"/>
    </xf>
    <xf numFmtId="0" fontId="7" fillId="7" borderId="0" xfId="0" applyFont="1" applyFill="1" applyAlignment="1" applyProtection="1">
      <alignment horizontal="left" vertical="center"/>
      <protection hidden="1"/>
    </xf>
    <xf numFmtId="0" fontId="2" fillId="7" borderId="0" xfId="0" applyFont="1" applyFill="1"/>
    <xf numFmtId="3" fontId="11" fillId="8" borderId="1" xfId="0" applyNumberFormat="1" applyFont="1" applyFill="1" applyBorder="1" applyAlignment="1" applyProtection="1">
      <alignment horizontal="center" vertical="center"/>
      <protection locked="0"/>
    </xf>
    <xf numFmtId="0" fontId="12" fillId="7" borderId="0" xfId="0" applyFont="1" applyFill="1" applyProtection="1">
      <protection hidden="1"/>
    </xf>
    <xf numFmtId="0" fontId="10" fillId="7" borderId="0" xfId="0" applyFont="1" applyFill="1" applyProtection="1">
      <protection hidden="1"/>
    </xf>
    <xf numFmtId="0" fontId="2" fillId="7" borderId="0" xfId="0" applyFont="1" applyFill="1" applyProtection="1">
      <protection hidden="1"/>
    </xf>
    <xf numFmtId="166" fontId="13" fillId="7" borderId="0" xfId="0" applyNumberFormat="1" applyFont="1" applyFill="1" applyAlignment="1" applyProtection="1">
      <alignment horizontal="center" vertical="center"/>
      <protection hidden="1"/>
    </xf>
    <xf numFmtId="0" fontId="14" fillId="7" borderId="0" xfId="0" applyFont="1" applyFill="1" applyAlignment="1" applyProtection="1">
      <alignment horizontal="left" vertical="center"/>
      <protection hidden="1"/>
    </xf>
    <xf numFmtId="3" fontId="15" fillId="7" borderId="0" xfId="0" applyNumberFormat="1" applyFont="1" applyFill="1" applyAlignment="1" applyProtection="1">
      <alignment horizontal="center" vertical="center"/>
      <protection hidden="1"/>
    </xf>
    <xf numFmtId="0" fontId="16" fillId="3" borderId="2" xfId="0" applyFont="1" applyFill="1" applyBorder="1" applyAlignment="1">
      <alignment horizontal="center" vertical="center"/>
    </xf>
    <xf numFmtId="167" fontId="2" fillId="4" borderId="0" xfId="0" applyNumberFormat="1" applyFont="1" applyFill="1" applyProtection="1">
      <protection hidden="1"/>
    </xf>
    <xf numFmtId="0" fontId="17" fillId="7" borderId="3" xfId="0" applyFont="1" applyFill="1" applyBorder="1" applyAlignment="1" applyProtection="1">
      <alignment horizontal="left" vertical="center"/>
      <protection hidden="1"/>
    </xf>
    <xf numFmtId="0" fontId="2" fillId="7" borderId="3" xfId="0" applyFont="1" applyFill="1" applyBorder="1"/>
    <xf numFmtId="166" fontId="11" fillId="8" borderId="1" xfId="0" applyNumberFormat="1" applyFont="1" applyFill="1" applyBorder="1" applyAlignment="1" applyProtection="1">
      <alignment horizontal="center" vertical="center"/>
      <protection locked="0" hidden="1"/>
    </xf>
    <xf numFmtId="0" fontId="17" fillId="9" borderId="3" xfId="0" applyFont="1" applyFill="1" applyBorder="1" applyAlignment="1" applyProtection="1">
      <alignment horizontal="left" vertical="center"/>
      <protection hidden="1"/>
    </xf>
    <xf numFmtId="0" fontId="2" fillId="9" borderId="3" xfId="0" applyFont="1" applyFill="1" applyBorder="1"/>
    <xf numFmtId="3" fontId="11" fillId="8" borderId="1" xfId="0" applyNumberFormat="1" applyFont="1" applyFill="1" applyBorder="1" applyAlignment="1" applyProtection="1">
      <alignment horizontal="center" vertical="center"/>
      <protection locked="0" hidden="1"/>
    </xf>
    <xf numFmtId="0" fontId="2" fillId="9" borderId="3" xfId="0" applyFont="1" applyFill="1" applyBorder="1" applyProtection="1">
      <protection hidden="1"/>
    </xf>
    <xf numFmtId="0" fontId="17" fillId="10" borderId="3" xfId="0" applyFont="1" applyFill="1" applyBorder="1" applyAlignment="1" applyProtection="1">
      <alignment horizontal="left" vertical="center"/>
      <protection hidden="1"/>
    </xf>
    <xf numFmtId="0" fontId="2" fillId="10" borderId="3" xfId="0" applyFont="1" applyFill="1" applyBorder="1" applyProtection="1">
      <protection hidden="1"/>
    </xf>
    <xf numFmtId="166" fontId="17" fillId="10" borderId="3" xfId="0" applyNumberFormat="1" applyFont="1" applyFill="1" applyBorder="1" applyAlignment="1" applyProtection="1">
      <alignment horizontal="right" vertical="center"/>
      <protection hidden="1"/>
    </xf>
    <xf numFmtId="164" fontId="17" fillId="10" borderId="3" xfId="0" applyNumberFormat="1" applyFont="1" applyFill="1" applyBorder="1" applyAlignment="1" applyProtection="1">
      <alignment horizontal="center" vertical="center"/>
      <protection hidden="1"/>
    </xf>
    <xf numFmtId="10" fontId="17" fillId="10" borderId="3" xfId="0" applyNumberFormat="1" applyFont="1" applyFill="1" applyBorder="1" applyAlignment="1" applyProtection="1">
      <alignment horizontal="center" vertical="center"/>
      <protection hidden="1"/>
    </xf>
    <xf numFmtId="166" fontId="17" fillId="10" borderId="3" xfId="0" applyNumberFormat="1" applyFont="1" applyFill="1" applyBorder="1" applyAlignment="1" applyProtection="1">
      <alignment horizontal="right" vertical="center"/>
      <protection locked="0" hidden="1"/>
    </xf>
    <xf numFmtId="0" fontId="18" fillId="7" borderId="3" xfId="0" applyFont="1" applyFill="1" applyBorder="1" applyAlignment="1" applyProtection="1">
      <alignment horizontal="left" vertical="center"/>
      <protection hidden="1"/>
    </xf>
    <xf numFmtId="166" fontId="2" fillId="7" borderId="3" xfId="0" applyNumberFormat="1" applyFont="1" applyFill="1" applyBorder="1" applyAlignment="1" applyProtection="1">
      <alignment horizontal="right" vertical="center"/>
      <protection locked="0" hidden="1"/>
    </xf>
    <xf numFmtId="0" fontId="18" fillId="9" borderId="3" xfId="0" applyFont="1" applyFill="1" applyBorder="1" applyAlignment="1" applyProtection="1">
      <alignment horizontal="left" vertical="center"/>
      <protection hidden="1"/>
    </xf>
    <xf numFmtId="10" fontId="2" fillId="9" borderId="3" xfId="0" applyNumberFormat="1" applyFont="1" applyFill="1" applyBorder="1" applyAlignment="1" applyProtection="1">
      <alignment horizontal="center" vertical="center"/>
      <protection locked="0" hidden="1"/>
    </xf>
    <xf numFmtId="166" fontId="2" fillId="9" borderId="3" xfId="0" applyNumberFormat="1" applyFont="1" applyFill="1" applyBorder="1" applyAlignment="1" applyProtection="1">
      <alignment horizontal="right" vertical="center"/>
      <protection locked="0" hidden="1"/>
    </xf>
    <xf numFmtId="3" fontId="2" fillId="4" borderId="0" xfId="0" applyNumberFormat="1" applyFont="1" applyFill="1" applyProtection="1">
      <protection hidden="1"/>
    </xf>
    <xf numFmtId="164" fontId="2" fillId="9" borderId="3" xfId="0" applyNumberFormat="1" applyFont="1" applyFill="1" applyBorder="1" applyProtection="1">
      <protection locked="0" hidden="1"/>
    </xf>
    <xf numFmtId="164" fontId="2" fillId="7" borderId="3" xfId="0" applyNumberFormat="1" applyFont="1" applyFill="1" applyBorder="1" applyProtection="1">
      <protection locked="0" hidden="1"/>
    </xf>
    <xf numFmtId="0" fontId="2" fillId="9" borderId="3" xfId="0" applyFont="1" applyFill="1" applyBorder="1" applyAlignment="1" applyProtection="1">
      <alignment horizontal="left" vertical="center"/>
      <protection hidden="1"/>
    </xf>
    <xf numFmtId="164" fontId="2" fillId="9" borderId="3" xfId="0" applyNumberFormat="1" applyFont="1" applyFill="1" applyBorder="1" applyAlignment="1" applyProtection="1">
      <alignment horizontal="center" vertical="center"/>
      <protection hidden="1"/>
    </xf>
    <xf numFmtId="164" fontId="2" fillId="7" borderId="3" xfId="0" applyNumberFormat="1" applyFont="1" applyFill="1" applyBorder="1" applyProtection="1">
      <protection hidden="1"/>
    </xf>
    <xf numFmtId="168" fontId="2" fillId="7" borderId="3" xfId="0" applyNumberFormat="1" applyFont="1" applyFill="1" applyBorder="1" applyProtection="1">
      <protection locked="0" hidden="1"/>
    </xf>
    <xf numFmtId="0" fontId="16" fillId="3" borderId="1" xfId="0" applyFont="1" applyFill="1" applyBorder="1" applyAlignment="1" applyProtection="1">
      <alignment horizontal="center" vertical="center"/>
      <protection hidden="1"/>
    </xf>
    <xf numFmtId="0" fontId="8" fillId="9" borderId="0" xfId="0" applyFont="1" applyFill="1" applyProtection="1">
      <protection hidden="1"/>
    </xf>
    <xf numFmtId="3" fontId="19" fillId="9" borderId="4" xfId="0" applyNumberFormat="1" applyFont="1" applyFill="1" applyBorder="1" applyAlignment="1" applyProtection="1">
      <alignment horizontal="right" vertical="center"/>
      <protection hidden="1"/>
    </xf>
    <xf numFmtId="3" fontId="19" fillId="7" borderId="4" xfId="0" applyNumberFormat="1" applyFont="1" applyFill="1" applyBorder="1" applyAlignment="1" applyProtection="1">
      <alignment horizontal="right" vertical="center"/>
      <protection hidden="1"/>
    </xf>
    <xf numFmtId="168" fontId="12" fillId="10" borderId="3" xfId="0" applyNumberFormat="1" applyFont="1" applyFill="1" applyBorder="1" applyAlignment="1" applyProtection="1">
      <alignment horizontal="left" vertical="center"/>
      <protection locked="0" hidden="1"/>
    </xf>
    <xf numFmtId="166" fontId="21" fillId="8" borderId="5" xfId="0" applyNumberFormat="1" applyFont="1" applyFill="1" applyBorder="1" applyAlignment="1" applyProtection="1">
      <alignment horizontal="right" vertical="center"/>
      <protection locked="0" hidden="1"/>
    </xf>
    <xf numFmtId="164" fontId="2" fillId="10" borderId="3" xfId="0" applyNumberFormat="1" applyFont="1" applyFill="1" applyBorder="1" applyProtection="1">
      <protection hidden="1"/>
    </xf>
    <xf numFmtId="10" fontId="2" fillId="9" borderId="3" xfId="0" applyNumberFormat="1" applyFont="1" applyFill="1" applyBorder="1" applyProtection="1">
      <protection hidden="1"/>
    </xf>
    <xf numFmtId="168" fontId="2" fillId="9" borderId="3" xfId="0" applyNumberFormat="1" applyFont="1" applyFill="1" applyBorder="1" applyProtection="1">
      <protection locked="0" hidden="1"/>
    </xf>
    <xf numFmtId="164" fontId="2" fillId="9" borderId="3" xfId="0" applyNumberFormat="1" applyFont="1" applyFill="1" applyBorder="1" applyProtection="1">
      <protection hidden="1"/>
    </xf>
    <xf numFmtId="0" fontId="22" fillId="12" borderId="3" xfId="0" applyFont="1" applyFill="1" applyBorder="1" applyAlignment="1" applyProtection="1">
      <alignment horizontal="left" vertical="center"/>
      <protection hidden="1"/>
    </xf>
    <xf numFmtId="0" fontId="2" fillId="12" borderId="3" xfId="0" applyFont="1" applyFill="1" applyBorder="1" applyProtection="1">
      <protection hidden="1"/>
    </xf>
    <xf numFmtId="166" fontId="22" fillId="12" borderId="3" xfId="0" applyNumberFormat="1" applyFont="1" applyFill="1" applyBorder="1" applyAlignment="1" applyProtection="1">
      <alignment horizontal="right" vertical="center"/>
      <protection hidden="1"/>
    </xf>
    <xf numFmtId="164" fontId="22" fillId="12" borderId="3" xfId="0" applyNumberFormat="1" applyFont="1" applyFill="1" applyBorder="1" applyAlignment="1" applyProtection="1">
      <alignment horizontal="center" vertical="center"/>
      <protection hidden="1"/>
    </xf>
    <xf numFmtId="166" fontId="22" fillId="12" borderId="3" xfId="0" applyNumberFormat="1" applyFont="1" applyFill="1" applyBorder="1" applyAlignment="1" applyProtection="1">
      <alignment horizontal="right" vertical="center"/>
      <protection locked="0" hidden="1"/>
    </xf>
    <xf numFmtId="168" fontId="12" fillId="12" borderId="3" xfId="0" applyNumberFormat="1" applyFont="1" applyFill="1" applyBorder="1" applyAlignment="1" applyProtection="1">
      <alignment horizontal="left" vertical="center"/>
      <protection locked="0" hidden="1"/>
    </xf>
    <xf numFmtId="0" fontId="2" fillId="7" borderId="4" xfId="0" applyFont="1" applyFill="1" applyBorder="1" applyAlignment="1" applyProtection="1">
      <alignment horizontal="left" vertical="center"/>
      <protection hidden="1"/>
    </xf>
    <xf numFmtId="0" fontId="2" fillId="7" borderId="4" xfId="0" applyFont="1" applyFill="1" applyBorder="1"/>
    <xf numFmtId="0" fontId="2" fillId="7" borderId="4" xfId="0" applyFont="1" applyFill="1" applyBorder="1" applyProtection="1">
      <protection hidden="1"/>
    </xf>
    <xf numFmtId="0" fontId="20" fillId="11" borderId="6" xfId="0" applyFont="1" applyFill="1" applyBorder="1" applyAlignment="1" applyProtection="1">
      <alignment horizontal="left" vertical="center"/>
      <protection hidden="1"/>
    </xf>
    <xf numFmtId="0" fontId="2" fillId="11" borderId="7" xfId="0" applyFont="1" applyFill="1" applyBorder="1" applyProtection="1">
      <protection hidden="1"/>
    </xf>
    <xf numFmtId="166" fontId="20" fillId="11" borderId="7" xfId="0" applyNumberFormat="1" applyFont="1" applyFill="1" applyBorder="1" applyAlignment="1" applyProtection="1">
      <alignment horizontal="right" vertical="center"/>
      <protection hidden="1"/>
    </xf>
    <xf numFmtId="164" fontId="20" fillId="11" borderId="7" xfId="0" applyNumberFormat="1" applyFont="1" applyFill="1" applyBorder="1" applyAlignment="1" applyProtection="1">
      <alignment horizontal="center" vertical="center"/>
      <protection hidden="1"/>
    </xf>
    <xf numFmtId="164" fontId="1" fillId="0" borderId="1" xfId="2" applyNumberFormat="1" applyBorder="1" applyAlignment="1" applyProtection="1">
      <alignment horizontal="center" vertical="center"/>
      <protection locked="0" hidden="1"/>
    </xf>
    <xf numFmtId="166" fontId="20" fillId="11" borderId="9" xfId="0" applyNumberFormat="1" applyFont="1" applyFill="1" applyBorder="1" applyAlignment="1" applyProtection="1">
      <alignment horizontal="right" vertical="center"/>
      <protection locked="0" hidden="1"/>
    </xf>
    <xf numFmtId="168" fontId="12" fillId="11" borderId="8" xfId="0" applyNumberFormat="1" applyFont="1" applyFill="1" applyBorder="1" applyAlignment="1" applyProtection="1">
      <alignment horizontal="left" vertical="center"/>
      <protection locked="0" hidden="1"/>
    </xf>
    <xf numFmtId="0" fontId="2" fillId="4" borderId="0" xfId="0" applyFont="1" applyFill="1"/>
    <xf numFmtId="0" fontId="2" fillId="4" borderId="0" xfId="0" applyFont="1" applyFill="1" applyProtection="1"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2" fillId="13" borderId="0" xfId="0" applyFont="1" applyFill="1"/>
    <xf numFmtId="0" fontId="0" fillId="13" borderId="0" xfId="0" applyFill="1"/>
    <xf numFmtId="0" fontId="0" fillId="14" borderId="0" xfId="0" applyFill="1"/>
    <xf numFmtId="0" fontId="2" fillId="15" borderId="0" xfId="0" applyFont="1" applyFill="1"/>
    <xf numFmtId="0" fontId="24" fillId="6" borderId="0" xfId="1" applyFont="1" applyFill="1" applyAlignment="1">
      <alignment vertical="center"/>
    </xf>
    <xf numFmtId="0" fontId="3" fillId="15" borderId="0" xfId="0" applyFont="1" applyFill="1" applyAlignment="1">
      <alignment horizontal="left" vertical="center"/>
    </xf>
    <xf numFmtId="0" fontId="2" fillId="15" borderId="0" xfId="0" applyFont="1" applyFill="1" applyAlignment="1">
      <alignment horizontal="left"/>
    </xf>
    <xf numFmtId="0" fontId="4" fillId="15" borderId="0" xfId="0" applyFont="1" applyFill="1" applyAlignment="1">
      <alignment horizontal="left" vertical="center"/>
    </xf>
    <xf numFmtId="0" fontId="2" fillId="16" borderId="0" xfId="0" applyFont="1" applyFill="1"/>
    <xf numFmtId="0" fontId="6" fillId="13" borderId="0" xfId="0" applyFont="1" applyFill="1" applyAlignment="1">
      <alignment horizontal="center" vertical="center"/>
    </xf>
    <xf numFmtId="22" fontId="25" fillId="13" borderId="0" xfId="0" applyNumberFormat="1" applyFont="1" applyFill="1" applyAlignment="1">
      <alignment horizontal="center" vertical="center"/>
    </xf>
    <xf numFmtId="0" fontId="26" fillId="13" borderId="0" xfId="0" applyFont="1" applyFill="1"/>
  </cellXfs>
  <cellStyles count="3">
    <cellStyle name="Hiperlink" xfId="1" builtinId="8"/>
    <cellStyle name="Normal" xfId="0" builtinId="0"/>
    <cellStyle name="Porcentagem" xfId="2" builtinId="5"/>
  </cellStyles>
  <dxfs count="0"/>
  <tableStyles count="1" defaultTableStyle="TableStyleMedium2" defaultPivotStyle="PivotStyleLight16">
    <tableStyle name="Invisible" pivot="0" table="0" count="0" xr9:uid="{953B2FEA-FD90-4534-95AB-5825BBB2FD56}"/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A0F3A"/>
      <rgbColor rgb="FF808000"/>
      <rgbColor rgb="FF800080"/>
      <rgbColor rgb="FF008080"/>
      <rgbColor rgb="FFC0C0C0"/>
      <rgbColor rgb="FF808080"/>
      <rgbColor rgb="FF9999FF"/>
      <rgbColor rgb="FF993366"/>
      <rgbColor rgb="FFFFF4E6"/>
      <rgbColor rgb="FFECEEF6"/>
      <rgbColor rgb="FF660066"/>
      <rgbColor rgb="FFFF8080"/>
      <rgbColor rgb="FF0066CC"/>
      <rgbColor rgb="FFBFC9E8"/>
      <rgbColor rgb="FF1A1F5E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6FA"/>
      <rgbColor rgb="FFC8E6C9"/>
      <rgbColor rgb="FFFFFF99"/>
      <rgbColor rgb="FFCACDD8"/>
      <rgbColor rgb="FFFF99CC"/>
      <rgbColor rgb="FFCC99FF"/>
      <rgbColor rgb="FFD8DBF0"/>
      <rgbColor rgb="FF3366FF"/>
      <rgbColor rgb="FF33CCCC"/>
      <rgbColor rgb="FF99CC00"/>
      <rgbColor rgb="FFFFCC00"/>
      <rgbColor rgb="FFE87722"/>
      <rgbColor rgb="FFFF6600"/>
      <rgbColor rgb="FF555555"/>
      <rgbColor rgb="FF969696"/>
      <rgbColor rgb="FF003366"/>
      <rgbColor rgb="FF339966"/>
      <rgbColor rgb="FF0F3A0F"/>
      <rgbColor rgb="FF333300"/>
      <rgbColor rgb="FF8B4000"/>
      <rgbColor rgb="FF993366"/>
      <rgbColor rgb="FF1A4A8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333333"/>
                </a:solidFill>
                <a:latin typeface="Calibri"/>
                <a:ea typeface="DejaVu Sans"/>
              </a:defRPr>
            </a:pPr>
            <a:r>
              <a:rPr lang="pt-BR" sz="1400" b="0" strike="noStrike" spc="-1">
                <a:solidFill>
                  <a:srgbClr val="333333"/>
                </a:solidFill>
                <a:latin typeface="Calibri"/>
                <a:ea typeface="DejaVu Sans"/>
              </a:rPr>
              <a:t>Análise de Ponto de Equilíbrio</a:t>
            </a:r>
          </a:p>
        </c:rich>
      </c:tx>
      <c:layout>
        <c:manualLayout>
          <c:xMode val="edge"/>
          <c:yMode val="edge"/>
          <c:x val="0.35297252972529702"/>
          <c:y val="3.7287140340575502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308098552403098E-2"/>
          <c:y val="0.13625796283736052"/>
          <c:w val="0.88680319142195962"/>
          <c:h val="0.75144204046157748"/>
        </c:manualLayout>
      </c:layout>
      <c:lineChart>
        <c:grouping val="standard"/>
        <c:varyColors val="0"/>
        <c:ser>
          <c:idx val="0"/>
          <c:order val="0"/>
          <c:tx>
            <c:strRef>
              <c:f>'Simulação Mg de Contribuição'!$AG$18</c:f>
              <c:strCache>
                <c:ptCount val="1"/>
                <c:pt idx="0">
                  <c:v>CDF</c:v>
                </c:pt>
              </c:strCache>
            </c:strRef>
          </c:tx>
          <c:spPr>
            <a:ln w="252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'Simulação Mg de Contribuição'!$AF$19:$AF$47</c:f>
              <c:numCache>
                <c:formatCode>#,##0</c:formatCode>
                <c:ptCount val="29"/>
                <c:pt idx="0">
                  <c:v>0</c:v>
                </c:pt>
                <c:pt idx="1">
                  <c:v>1500</c:v>
                </c:pt>
                <c:pt idx="2">
                  <c:v>3000</c:v>
                </c:pt>
                <c:pt idx="3">
                  <c:v>4500</c:v>
                </c:pt>
                <c:pt idx="4">
                  <c:v>6000</c:v>
                </c:pt>
                <c:pt idx="5">
                  <c:v>7500</c:v>
                </c:pt>
                <c:pt idx="6">
                  <c:v>9000</c:v>
                </c:pt>
                <c:pt idx="7">
                  <c:v>10500</c:v>
                </c:pt>
                <c:pt idx="8">
                  <c:v>12000</c:v>
                </c:pt>
                <c:pt idx="9">
                  <c:v>13500</c:v>
                </c:pt>
                <c:pt idx="10">
                  <c:v>15000</c:v>
                </c:pt>
                <c:pt idx="11">
                  <c:v>16500</c:v>
                </c:pt>
                <c:pt idx="12">
                  <c:v>18000</c:v>
                </c:pt>
                <c:pt idx="13">
                  <c:v>19500</c:v>
                </c:pt>
                <c:pt idx="14">
                  <c:v>21000</c:v>
                </c:pt>
                <c:pt idx="15">
                  <c:v>22500</c:v>
                </c:pt>
                <c:pt idx="16">
                  <c:v>24000</c:v>
                </c:pt>
                <c:pt idx="17">
                  <c:v>25500</c:v>
                </c:pt>
                <c:pt idx="18">
                  <c:v>27000</c:v>
                </c:pt>
                <c:pt idx="19">
                  <c:v>28500</c:v>
                </c:pt>
                <c:pt idx="20">
                  <c:v>30000</c:v>
                </c:pt>
                <c:pt idx="21">
                  <c:v>31500</c:v>
                </c:pt>
                <c:pt idx="22">
                  <c:v>33000</c:v>
                </c:pt>
                <c:pt idx="23">
                  <c:v>34500</c:v>
                </c:pt>
                <c:pt idx="24">
                  <c:v>36000</c:v>
                </c:pt>
                <c:pt idx="25">
                  <c:v>37500</c:v>
                </c:pt>
                <c:pt idx="26">
                  <c:v>39000</c:v>
                </c:pt>
                <c:pt idx="27">
                  <c:v>40500</c:v>
                </c:pt>
                <c:pt idx="28">
                  <c:v>42000</c:v>
                </c:pt>
              </c:numCache>
            </c:numRef>
          </c:cat>
          <c:val>
            <c:numRef>
              <c:f>'Simulação Mg de Contribuição'!$AG$19:$AG$47</c:f>
              <c:numCache>
                <c:formatCode>#,##0</c:formatCode>
                <c:ptCount val="29"/>
                <c:pt idx="0">
                  <c:v>300000</c:v>
                </c:pt>
                <c:pt idx="1">
                  <c:v>300000</c:v>
                </c:pt>
                <c:pt idx="2">
                  <c:v>300000</c:v>
                </c:pt>
                <c:pt idx="3">
                  <c:v>300000</c:v>
                </c:pt>
                <c:pt idx="4">
                  <c:v>300000</c:v>
                </c:pt>
                <c:pt idx="5">
                  <c:v>300000</c:v>
                </c:pt>
                <c:pt idx="6">
                  <c:v>300000</c:v>
                </c:pt>
                <c:pt idx="7">
                  <c:v>300000</c:v>
                </c:pt>
                <c:pt idx="8">
                  <c:v>300000</c:v>
                </c:pt>
                <c:pt idx="9">
                  <c:v>300000</c:v>
                </c:pt>
                <c:pt idx="10">
                  <c:v>300000</c:v>
                </c:pt>
                <c:pt idx="11">
                  <c:v>300000</c:v>
                </c:pt>
                <c:pt idx="12">
                  <c:v>300000</c:v>
                </c:pt>
                <c:pt idx="13">
                  <c:v>300000</c:v>
                </c:pt>
                <c:pt idx="14">
                  <c:v>300000</c:v>
                </c:pt>
                <c:pt idx="15">
                  <c:v>300000</c:v>
                </c:pt>
                <c:pt idx="16">
                  <c:v>300000</c:v>
                </c:pt>
                <c:pt idx="17">
                  <c:v>300000</c:v>
                </c:pt>
                <c:pt idx="18">
                  <c:v>300000</c:v>
                </c:pt>
                <c:pt idx="19">
                  <c:v>300000</c:v>
                </c:pt>
                <c:pt idx="20">
                  <c:v>300000</c:v>
                </c:pt>
                <c:pt idx="21">
                  <c:v>300000</c:v>
                </c:pt>
                <c:pt idx="22">
                  <c:v>300000</c:v>
                </c:pt>
                <c:pt idx="23">
                  <c:v>300000</c:v>
                </c:pt>
                <c:pt idx="24">
                  <c:v>300000</c:v>
                </c:pt>
                <c:pt idx="25">
                  <c:v>300000</c:v>
                </c:pt>
                <c:pt idx="26">
                  <c:v>300000</c:v>
                </c:pt>
                <c:pt idx="27">
                  <c:v>300000</c:v>
                </c:pt>
                <c:pt idx="28">
                  <c:v>300000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9-46AC-B186-D27EF0EA1845}"/>
            </c:ext>
          </c:extLst>
        </c:ser>
        <c:ser>
          <c:idx val="1"/>
          <c:order val="1"/>
          <c:tx>
            <c:strRef>
              <c:f>'Simulação Mg de Contribuição'!$AH$18</c:f>
              <c:strCache>
                <c:ptCount val="1"/>
                <c:pt idx="0">
                  <c:v>CDU</c:v>
                </c:pt>
              </c:strCache>
            </c:strRef>
          </c:tx>
          <c:spPr>
            <a:ln w="25200">
              <a:solidFill>
                <a:srgbClr val="FF66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'Simulação Mg de Contribuição'!$AF$19:$AF$47</c:f>
              <c:numCache>
                <c:formatCode>#,##0</c:formatCode>
                <c:ptCount val="29"/>
                <c:pt idx="0">
                  <c:v>0</c:v>
                </c:pt>
                <c:pt idx="1">
                  <c:v>1500</c:v>
                </c:pt>
                <c:pt idx="2">
                  <c:v>3000</c:v>
                </c:pt>
                <c:pt idx="3">
                  <c:v>4500</c:v>
                </c:pt>
                <c:pt idx="4">
                  <c:v>6000</c:v>
                </c:pt>
                <c:pt idx="5">
                  <c:v>7500</c:v>
                </c:pt>
                <c:pt idx="6">
                  <c:v>9000</c:v>
                </c:pt>
                <c:pt idx="7">
                  <c:v>10500</c:v>
                </c:pt>
                <c:pt idx="8">
                  <c:v>12000</c:v>
                </c:pt>
                <c:pt idx="9">
                  <c:v>13500</c:v>
                </c:pt>
                <c:pt idx="10">
                  <c:v>15000</c:v>
                </c:pt>
                <c:pt idx="11">
                  <c:v>16500</c:v>
                </c:pt>
                <c:pt idx="12">
                  <c:v>18000</c:v>
                </c:pt>
                <c:pt idx="13">
                  <c:v>19500</c:v>
                </c:pt>
                <c:pt idx="14">
                  <c:v>21000</c:v>
                </c:pt>
                <c:pt idx="15">
                  <c:v>22500</c:v>
                </c:pt>
                <c:pt idx="16">
                  <c:v>24000</c:v>
                </c:pt>
                <c:pt idx="17">
                  <c:v>25500</c:v>
                </c:pt>
                <c:pt idx="18">
                  <c:v>27000</c:v>
                </c:pt>
                <c:pt idx="19">
                  <c:v>28500</c:v>
                </c:pt>
                <c:pt idx="20">
                  <c:v>30000</c:v>
                </c:pt>
                <c:pt idx="21">
                  <c:v>31500</c:v>
                </c:pt>
                <c:pt idx="22">
                  <c:v>33000</c:v>
                </c:pt>
                <c:pt idx="23">
                  <c:v>34500</c:v>
                </c:pt>
                <c:pt idx="24">
                  <c:v>36000</c:v>
                </c:pt>
                <c:pt idx="25">
                  <c:v>37500</c:v>
                </c:pt>
                <c:pt idx="26">
                  <c:v>39000</c:v>
                </c:pt>
                <c:pt idx="27">
                  <c:v>40500</c:v>
                </c:pt>
                <c:pt idx="28">
                  <c:v>42000</c:v>
                </c:pt>
              </c:numCache>
            </c:numRef>
          </c:cat>
          <c:val>
            <c:numRef>
              <c:f>'Simulação Mg de Contribuição'!$AH$19:$AH$47</c:f>
              <c:numCache>
                <c:formatCode>#,##0</c:formatCode>
                <c:ptCount val="29"/>
                <c:pt idx="0">
                  <c:v>0</c:v>
                </c:pt>
                <c:pt idx="1">
                  <c:v>37323.75</c:v>
                </c:pt>
                <c:pt idx="2">
                  <c:v>74647.5</c:v>
                </c:pt>
                <c:pt idx="3">
                  <c:v>111971.25</c:v>
                </c:pt>
                <c:pt idx="4">
                  <c:v>149295</c:v>
                </c:pt>
                <c:pt idx="5">
                  <c:v>186618.75</c:v>
                </c:pt>
                <c:pt idx="6">
                  <c:v>223942.5</c:v>
                </c:pt>
                <c:pt idx="7">
                  <c:v>261266.25</c:v>
                </c:pt>
                <c:pt idx="8">
                  <c:v>298590</c:v>
                </c:pt>
                <c:pt idx="9">
                  <c:v>335913.75</c:v>
                </c:pt>
                <c:pt idx="10">
                  <c:v>373237.5</c:v>
                </c:pt>
                <c:pt idx="11">
                  <c:v>410561.25</c:v>
                </c:pt>
                <c:pt idx="12">
                  <c:v>447885</c:v>
                </c:pt>
                <c:pt idx="13">
                  <c:v>485208.75</c:v>
                </c:pt>
                <c:pt idx="14">
                  <c:v>522532.5</c:v>
                </c:pt>
                <c:pt idx="15">
                  <c:v>559856.25</c:v>
                </c:pt>
                <c:pt idx="16">
                  <c:v>597180</c:v>
                </c:pt>
                <c:pt idx="17">
                  <c:v>634503.75</c:v>
                </c:pt>
                <c:pt idx="18">
                  <c:v>671827.5</c:v>
                </c:pt>
                <c:pt idx="19">
                  <c:v>709151.25</c:v>
                </c:pt>
                <c:pt idx="20">
                  <c:v>746475</c:v>
                </c:pt>
                <c:pt idx="21">
                  <c:v>783798.75</c:v>
                </c:pt>
                <c:pt idx="22">
                  <c:v>821122.5</c:v>
                </c:pt>
                <c:pt idx="23">
                  <c:v>858446.25</c:v>
                </c:pt>
                <c:pt idx="24">
                  <c:v>895770</c:v>
                </c:pt>
                <c:pt idx="25">
                  <c:v>933093.75</c:v>
                </c:pt>
                <c:pt idx="26">
                  <c:v>970417.5</c:v>
                </c:pt>
                <c:pt idx="27">
                  <c:v>1007741.25</c:v>
                </c:pt>
                <c:pt idx="28">
                  <c:v>1045065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9-46AC-B186-D27EF0EA1845}"/>
            </c:ext>
          </c:extLst>
        </c:ser>
        <c:ser>
          <c:idx val="2"/>
          <c:order val="2"/>
          <c:tx>
            <c:strRef>
              <c:f>'Simulação Mg de Contribuição'!$AI$18</c:f>
              <c:strCache>
                <c:ptCount val="1"/>
                <c:pt idx="0">
                  <c:v>CUSTOS TOTAIS</c:v>
                </c:pt>
              </c:strCache>
            </c:strRef>
          </c:tx>
          <c:spPr>
            <a:ln w="25200">
              <a:solidFill>
                <a:srgbClr val="96969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'Simulação Mg de Contribuição'!$AF$19:$AF$47</c:f>
              <c:numCache>
                <c:formatCode>#,##0</c:formatCode>
                <c:ptCount val="29"/>
                <c:pt idx="0">
                  <c:v>0</c:v>
                </c:pt>
                <c:pt idx="1">
                  <c:v>1500</c:v>
                </c:pt>
                <c:pt idx="2">
                  <c:v>3000</c:v>
                </c:pt>
                <c:pt idx="3">
                  <c:v>4500</c:v>
                </c:pt>
                <c:pt idx="4">
                  <c:v>6000</c:v>
                </c:pt>
                <c:pt idx="5">
                  <c:v>7500</c:v>
                </c:pt>
                <c:pt idx="6">
                  <c:v>9000</c:v>
                </c:pt>
                <c:pt idx="7">
                  <c:v>10500</c:v>
                </c:pt>
                <c:pt idx="8">
                  <c:v>12000</c:v>
                </c:pt>
                <c:pt idx="9">
                  <c:v>13500</c:v>
                </c:pt>
                <c:pt idx="10">
                  <c:v>15000</c:v>
                </c:pt>
                <c:pt idx="11">
                  <c:v>16500</c:v>
                </c:pt>
                <c:pt idx="12">
                  <c:v>18000</c:v>
                </c:pt>
                <c:pt idx="13">
                  <c:v>19500</c:v>
                </c:pt>
                <c:pt idx="14">
                  <c:v>21000</c:v>
                </c:pt>
                <c:pt idx="15">
                  <c:v>22500</c:v>
                </c:pt>
                <c:pt idx="16">
                  <c:v>24000</c:v>
                </c:pt>
                <c:pt idx="17">
                  <c:v>25500</c:v>
                </c:pt>
                <c:pt idx="18">
                  <c:v>27000</c:v>
                </c:pt>
                <c:pt idx="19">
                  <c:v>28500</c:v>
                </c:pt>
                <c:pt idx="20">
                  <c:v>30000</c:v>
                </c:pt>
                <c:pt idx="21">
                  <c:v>31500</c:v>
                </c:pt>
                <c:pt idx="22">
                  <c:v>33000</c:v>
                </c:pt>
                <c:pt idx="23">
                  <c:v>34500</c:v>
                </c:pt>
                <c:pt idx="24">
                  <c:v>36000</c:v>
                </c:pt>
                <c:pt idx="25">
                  <c:v>37500</c:v>
                </c:pt>
                <c:pt idx="26">
                  <c:v>39000</c:v>
                </c:pt>
                <c:pt idx="27">
                  <c:v>40500</c:v>
                </c:pt>
                <c:pt idx="28">
                  <c:v>42000</c:v>
                </c:pt>
              </c:numCache>
            </c:numRef>
          </c:cat>
          <c:val>
            <c:numRef>
              <c:f>'Simulação Mg de Contribuição'!$AI$19:$AI$47</c:f>
              <c:numCache>
                <c:formatCode>#,##0</c:formatCode>
                <c:ptCount val="29"/>
                <c:pt idx="0">
                  <c:v>300000</c:v>
                </c:pt>
                <c:pt idx="1">
                  <c:v>337323.75</c:v>
                </c:pt>
                <c:pt idx="2">
                  <c:v>374647.5</c:v>
                </c:pt>
                <c:pt idx="3">
                  <c:v>411971.25</c:v>
                </c:pt>
                <c:pt idx="4">
                  <c:v>449295</c:v>
                </c:pt>
                <c:pt idx="5">
                  <c:v>486618.75</c:v>
                </c:pt>
                <c:pt idx="6">
                  <c:v>523942.5</c:v>
                </c:pt>
                <c:pt idx="7">
                  <c:v>561266.25</c:v>
                </c:pt>
                <c:pt idx="8">
                  <c:v>598590</c:v>
                </c:pt>
                <c:pt idx="9">
                  <c:v>635913.75</c:v>
                </c:pt>
                <c:pt idx="10">
                  <c:v>673237.5</c:v>
                </c:pt>
                <c:pt idx="11">
                  <c:v>710561.25</c:v>
                </c:pt>
                <c:pt idx="12">
                  <c:v>747885</c:v>
                </c:pt>
                <c:pt idx="13">
                  <c:v>785208.75</c:v>
                </c:pt>
                <c:pt idx="14">
                  <c:v>822532.5</c:v>
                </c:pt>
                <c:pt idx="15">
                  <c:v>859856.25</c:v>
                </c:pt>
                <c:pt idx="16">
                  <c:v>897180</c:v>
                </c:pt>
                <c:pt idx="17">
                  <c:v>934503.75</c:v>
                </c:pt>
                <c:pt idx="18">
                  <c:v>971827.5</c:v>
                </c:pt>
                <c:pt idx="19">
                  <c:v>1009151.25</c:v>
                </c:pt>
                <c:pt idx="20">
                  <c:v>1046475</c:v>
                </c:pt>
                <c:pt idx="21">
                  <c:v>1083798.75</c:v>
                </c:pt>
                <c:pt idx="22">
                  <c:v>1121122.5</c:v>
                </c:pt>
                <c:pt idx="23">
                  <c:v>1158446.25</c:v>
                </c:pt>
                <c:pt idx="24">
                  <c:v>1195770</c:v>
                </c:pt>
                <c:pt idx="25">
                  <c:v>1233093.75</c:v>
                </c:pt>
                <c:pt idx="26">
                  <c:v>1270417.5</c:v>
                </c:pt>
                <c:pt idx="27">
                  <c:v>1307741.25</c:v>
                </c:pt>
                <c:pt idx="28">
                  <c:v>1345065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79-46AC-B186-D27EF0EA1845}"/>
            </c:ext>
          </c:extLst>
        </c:ser>
        <c:ser>
          <c:idx val="3"/>
          <c:order val="3"/>
          <c:tx>
            <c:strRef>
              <c:f>'Simulação Mg de Contribuição'!$AJ$18</c:f>
              <c:strCache>
                <c:ptCount val="1"/>
                <c:pt idx="0">
                  <c:v>VENDAS</c:v>
                </c:pt>
              </c:strCache>
            </c:strRef>
          </c:tx>
          <c:spPr>
            <a:ln w="25200">
              <a:solidFill>
                <a:srgbClr val="FFCC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'Simulação Mg de Contribuição'!$AF$19:$AF$47</c:f>
              <c:numCache>
                <c:formatCode>#,##0</c:formatCode>
                <c:ptCount val="29"/>
                <c:pt idx="0">
                  <c:v>0</c:v>
                </c:pt>
                <c:pt idx="1">
                  <c:v>1500</c:v>
                </c:pt>
                <c:pt idx="2">
                  <c:v>3000</c:v>
                </c:pt>
                <c:pt idx="3">
                  <c:v>4500</c:v>
                </c:pt>
                <c:pt idx="4">
                  <c:v>6000</c:v>
                </c:pt>
                <c:pt idx="5">
                  <c:v>7500</c:v>
                </c:pt>
                <c:pt idx="6">
                  <c:v>9000</c:v>
                </c:pt>
                <c:pt idx="7">
                  <c:v>10500</c:v>
                </c:pt>
                <c:pt idx="8">
                  <c:v>12000</c:v>
                </c:pt>
                <c:pt idx="9">
                  <c:v>13500</c:v>
                </c:pt>
                <c:pt idx="10">
                  <c:v>15000</c:v>
                </c:pt>
                <c:pt idx="11">
                  <c:v>16500</c:v>
                </c:pt>
                <c:pt idx="12">
                  <c:v>18000</c:v>
                </c:pt>
                <c:pt idx="13">
                  <c:v>19500</c:v>
                </c:pt>
                <c:pt idx="14">
                  <c:v>21000</c:v>
                </c:pt>
                <c:pt idx="15">
                  <c:v>22500</c:v>
                </c:pt>
                <c:pt idx="16">
                  <c:v>24000</c:v>
                </c:pt>
                <c:pt idx="17">
                  <c:v>25500</c:v>
                </c:pt>
                <c:pt idx="18">
                  <c:v>27000</c:v>
                </c:pt>
                <c:pt idx="19">
                  <c:v>28500</c:v>
                </c:pt>
                <c:pt idx="20">
                  <c:v>30000</c:v>
                </c:pt>
                <c:pt idx="21">
                  <c:v>31500</c:v>
                </c:pt>
                <c:pt idx="22">
                  <c:v>33000</c:v>
                </c:pt>
                <c:pt idx="23">
                  <c:v>34500</c:v>
                </c:pt>
                <c:pt idx="24">
                  <c:v>36000</c:v>
                </c:pt>
                <c:pt idx="25">
                  <c:v>37500</c:v>
                </c:pt>
                <c:pt idx="26">
                  <c:v>39000</c:v>
                </c:pt>
                <c:pt idx="27">
                  <c:v>40500</c:v>
                </c:pt>
                <c:pt idx="28">
                  <c:v>42000</c:v>
                </c:pt>
              </c:numCache>
            </c:numRef>
          </c:cat>
          <c:val>
            <c:numRef>
              <c:f>'Simulação Mg de Contribuição'!$AJ$19:$AJ$47</c:f>
              <c:numCache>
                <c:formatCode>#,##0</c:formatCode>
                <c:ptCount val="29"/>
                <c:pt idx="0">
                  <c:v>0</c:v>
                </c:pt>
                <c:pt idx="1">
                  <c:v>55500</c:v>
                </c:pt>
                <c:pt idx="2">
                  <c:v>111000</c:v>
                </c:pt>
                <c:pt idx="3">
                  <c:v>166500</c:v>
                </c:pt>
                <c:pt idx="4">
                  <c:v>222000</c:v>
                </c:pt>
                <c:pt idx="5">
                  <c:v>277500</c:v>
                </c:pt>
                <c:pt idx="6">
                  <c:v>333000</c:v>
                </c:pt>
                <c:pt idx="7">
                  <c:v>388500</c:v>
                </c:pt>
                <c:pt idx="8">
                  <c:v>444000</c:v>
                </c:pt>
                <c:pt idx="9">
                  <c:v>499500</c:v>
                </c:pt>
                <c:pt idx="10">
                  <c:v>555000</c:v>
                </c:pt>
                <c:pt idx="11">
                  <c:v>610500</c:v>
                </c:pt>
                <c:pt idx="12">
                  <c:v>666000</c:v>
                </c:pt>
                <c:pt idx="13">
                  <c:v>721500</c:v>
                </c:pt>
                <c:pt idx="14">
                  <c:v>777000</c:v>
                </c:pt>
                <c:pt idx="15">
                  <c:v>832500</c:v>
                </c:pt>
                <c:pt idx="16">
                  <c:v>888000</c:v>
                </c:pt>
                <c:pt idx="17">
                  <c:v>943500</c:v>
                </c:pt>
                <c:pt idx="18">
                  <c:v>999000</c:v>
                </c:pt>
                <c:pt idx="19">
                  <c:v>1054500</c:v>
                </c:pt>
                <c:pt idx="20">
                  <c:v>1110000</c:v>
                </c:pt>
                <c:pt idx="21">
                  <c:v>1165500</c:v>
                </c:pt>
                <c:pt idx="22">
                  <c:v>1221000</c:v>
                </c:pt>
                <c:pt idx="23">
                  <c:v>1276500</c:v>
                </c:pt>
                <c:pt idx="24">
                  <c:v>1332000</c:v>
                </c:pt>
                <c:pt idx="25">
                  <c:v>1387500</c:v>
                </c:pt>
                <c:pt idx="26">
                  <c:v>1443000</c:v>
                </c:pt>
                <c:pt idx="27">
                  <c:v>1498500</c:v>
                </c:pt>
                <c:pt idx="28">
                  <c:v>1554000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79-46AC-B186-D27EF0EA1845}"/>
            </c:ext>
          </c:extLst>
        </c:ser>
        <c:ser>
          <c:idx val="4"/>
          <c:order val="4"/>
          <c:tx>
            <c:strRef>
              <c:f>'Simulação Mg de Contribuição'!$AK$18</c:f>
              <c:strCache>
                <c:ptCount val="1"/>
                <c:pt idx="0">
                  <c:v>LUCRO</c:v>
                </c:pt>
              </c:strCache>
            </c:strRef>
          </c:tx>
          <c:spPr>
            <a:ln w="25200">
              <a:solidFill>
                <a:srgbClr val="33CCC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'Simulação Mg de Contribuição'!$AF$19:$AF$47</c:f>
              <c:numCache>
                <c:formatCode>#,##0</c:formatCode>
                <c:ptCount val="29"/>
                <c:pt idx="0">
                  <c:v>0</c:v>
                </c:pt>
                <c:pt idx="1">
                  <c:v>1500</c:v>
                </c:pt>
                <c:pt idx="2">
                  <c:v>3000</c:v>
                </c:pt>
                <c:pt idx="3">
                  <c:v>4500</c:v>
                </c:pt>
                <c:pt idx="4">
                  <c:v>6000</c:v>
                </c:pt>
                <c:pt idx="5">
                  <c:v>7500</c:v>
                </c:pt>
                <c:pt idx="6">
                  <c:v>9000</c:v>
                </c:pt>
                <c:pt idx="7">
                  <c:v>10500</c:v>
                </c:pt>
                <c:pt idx="8">
                  <c:v>12000</c:v>
                </c:pt>
                <c:pt idx="9">
                  <c:v>13500</c:v>
                </c:pt>
                <c:pt idx="10">
                  <c:v>15000</c:v>
                </c:pt>
                <c:pt idx="11">
                  <c:v>16500</c:v>
                </c:pt>
                <c:pt idx="12">
                  <c:v>18000</c:v>
                </c:pt>
                <c:pt idx="13">
                  <c:v>19500</c:v>
                </c:pt>
                <c:pt idx="14">
                  <c:v>21000</c:v>
                </c:pt>
                <c:pt idx="15">
                  <c:v>22500</c:v>
                </c:pt>
                <c:pt idx="16">
                  <c:v>24000</c:v>
                </c:pt>
                <c:pt idx="17">
                  <c:v>25500</c:v>
                </c:pt>
                <c:pt idx="18">
                  <c:v>27000</c:v>
                </c:pt>
                <c:pt idx="19">
                  <c:v>28500</c:v>
                </c:pt>
                <c:pt idx="20">
                  <c:v>30000</c:v>
                </c:pt>
                <c:pt idx="21">
                  <c:v>31500</c:v>
                </c:pt>
                <c:pt idx="22">
                  <c:v>33000</c:v>
                </c:pt>
                <c:pt idx="23">
                  <c:v>34500</c:v>
                </c:pt>
                <c:pt idx="24">
                  <c:v>36000</c:v>
                </c:pt>
                <c:pt idx="25">
                  <c:v>37500</c:v>
                </c:pt>
                <c:pt idx="26">
                  <c:v>39000</c:v>
                </c:pt>
                <c:pt idx="27">
                  <c:v>40500</c:v>
                </c:pt>
                <c:pt idx="28">
                  <c:v>42000</c:v>
                </c:pt>
              </c:numCache>
            </c:numRef>
          </c:cat>
          <c:val>
            <c:numRef>
              <c:f>'Simulação Mg de Contribuição'!$AK$19:$AK$47</c:f>
              <c:numCache>
                <c:formatCode>#,##0</c:formatCode>
                <c:ptCount val="29"/>
                <c:pt idx="0">
                  <c:v>-300000</c:v>
                </c:pt>
                <c:pt idx="1">
                  <c:v>-281823.75</c:v>
                </c:pt>
                <c:pt idx="2">
                  <c:v>-263647.5</c:v>
                </c:pt>
                <c:pt idx="3">
                  <c:v>-245471.25</c:v>
                </c:pt>
                <c:pt idx="4">
                  <c:v>-227295</c:v>
                </c:pt>
                <c:pt idx="5">
                  <c:v>-209118.75</c:v>
                </c:pt>
                <c:pt idx="6">
                  <c:v>-190942.5</c:v>
                </c:pt>
                <c:pt idx="7">
                  <c:v>-172766.25</c:v>
                </c:pt>
                <c:pt idx="8">
                  <c:v>-154590</c:v>
                </c:pt>
                <c:pt idx="9">
                  <c:v>-136413.75</c:v>
                </c:pt>
                <c:pt idx="10">
                  <c:v>-118237.5</c:v>
                </c:pt>
                <c:pt idx="11">
                  <c:v>-100061.25</c:v>
                </c:pt>
                <c:pt idx="12">
                  <c:v>-81885</c:v>
                </c:pt>
                <c:pt idx="13">
                  <c:v>-63708.75</c:v>
                </c:pt>
                <c:pt idx="14">
                  <c:v>-45532.5</c:v>
                </c:pt>
                <c:pt idx="15">
                  <c:v>-27356.25</c:v>
                </c:pt>
                <c:pt idx="16">
                  <c:v>-9180</c:v>
                </c:pt>
                <c:pt idx="17">
                  <c:v>8996.25</c:v>
                </c:pt>
                <c:pt idx="18">
                  <c:v>27172.5</c:v>
                </c:pt>
                <c:pt idx="19">
                  <c:v>45348.75</c:v>
                </c:pt>
                <c:pt idx="20">
                  <c:v>63525</c:v>
                </c:pt>
                <c:pt idx="21">
                  <c:v>81701.25</c:v>
                </c:pt>
                <c:pt idx="22">
                  <c:v>99877.5</c:v>
                </c:pt>
                <c:pt idx="23">
                  <c:v>118053.75</c:v>
                </c:pt>
                <c:pt idx="24">
                  <c:v>136230</c:v>
                </c:pt>
                <c:pt idx="25">
                  <c:v>154406.25</c:v>
                </c:pt>
                <c:pt idx="26">
                  <c:v>172582.5</c:v>
                </c:pt>
                <c:pt idx="27">
                  <c:v>190758.75</c:v>
                </c:pt>
                <c:pt idx="28">
                  <c:v>208935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79-46AC-B186-D27EF0EA1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23449374"/>
        <c:axId val="50271487"/>
      </c:lineChart>
      <c:catAx>
        <c:axId val="23449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C0C0C0"/>
            </a:solidFill>
          </a:ln>
        </c:spPr>
        <c:txPr>
          <a:bodyPr rot="-2700000"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  <a:ea typeface="DejaVu Sans"/>
              </a:defRPr>
            </a:pPr>
            <a:endParaRPr lang="pt-BR"/>
          </a:p>
        </c:txPr>
        <c:crossAx val="50271487"/>
        <c:crossesAt val="0"/>
        <c:auto val="1"/>
        <c:lblAlgn val="ctr"/>
        <c:lblOffset val="100"/>
        <c:noMultiLvlLbl val="0"/>
      </c:catAx>
      <c:valAx>
        <c:axId val="50271487"/>
        <c:scaling>
          <c:orientation val="minMax"/>
        </c:scaling>
        <c:delete val="0"/>
        <c:axPos val="l"/>
        <c:majorGridlines>
          <c:spPr>
            <a:ln w="0">
              <a:solidFill>
                <a:srgbClr val="C0C0C0"/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  <a:ea typeface="DejaVu Sans"/>
              </a:defRPr>
            </a:pPr>
            <a:endParaRPr lang="pt-BR"/>
          </a:p>
        </c:txPr>
        <c:crossAx val="23449374"/>
        <c:crossesAt val="1"/>
        <c:crossBetween val="midCat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23515504228425901"/>
          <c:y val="0.89179735981044805"/>
          <c:w val="0.50686550877512104"/>
          <c:h val="6.36353379216969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333333"/>
              </a:solidFill>
              <a:latin typeface="Calibri"/>
              <a:ea typeface="DejaVu Sans"/>
            </a:defRPr>
          </a:pPr>
          <a:endParaRPr lang="pt-BR"/>
        </a:p>
      </c:txPr>
    </c:legend>
    <c:plotVisOnly val="1"/>
    <c:dispBlanksAs val="gap"/>
    <c:showDLblsOverMax val="1"/>
  </c:chart>
  <c:spPr>
    <a:noFill/>
    <a:ln w="0">
      <a:solidFill>
        <a:srgbClr val="C0C0C0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Menu!A1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6800850</xdr:colOff>
      <xdr:row>0</xdr:row>
      <xdr:rowOff>238125</xdr:rowOff>
    </xdr:from>
    <xdr:to>
      <xdr:col>10</xdr:col>
      <xdr:colOff>7800975</xdr:colOff>
      <xdr:row>1</xdr:row>
      <xdr:rowOff>133349</xdr:rowOff>
    </xdr:to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67850" y="238125"/>
          <a:ext cx="1000125" cy="847724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400513</xdr:colOff>
      <xdr:row>8</xdr:row>
      <xdr:rowOff>149540</xdr:rowOff>
    </xdr:from>
    <xdr:to>
      <xdr:col>19</xdr:col>
      <xdr:colOff>722354</xdr:colOff>
      <xdr:row>28</xdr:row>
      <xdr:rowOff>100940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391583</xdr:colOff>
      <xdr:row>0</xdr:row>
      <xdr:rowOff>116417</xdr:rowOff>
    </xdr:from>
    <xdr:to>
      <xdr:col>9</xdr:col>
      <xdr:colOff>613833</xdr:colOff>
      <xdr:row>0</xdr:row>
      <xdr:rowOff>763697</xdr:rowOff>
    </xdr:to>
    <xdr:pic>
      <xdr:nvPicPr>
        <xdr:cNvPr id="5" name="Image 3" descr="Pictur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069666" y="116417"/>
          <a:ext cx="1026584" cy="647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valini.com.b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zoomScaleNormal="100" workbookViewId="0">
      <selection activeCell="K9" sqref="K9"/>
    </sheetView>
  </sheetViews>
  <sheetFormatPr defaultColWidth="0" defaultRowHeight="15" zeroHeight="1" x14ac:dyDescent="0.25"/>
  <cols>
    <col min="1" max="10" width="4" style="3" customWidth="1"/>
    <col min="11" max="11" width="125.140625" style="3" customWidth="1"/>
    <col min="12" max="12" width="120.5703125" style="3" hidden="1" customWidth="1"/>
    <col min="13" max="16384" width="9.140625" hidden="1"/>
  </cols>
  <sheetData>
    <row r="1" spans="1:12" s="82" customFormat="1" ht="75" customHeight="1" x14ac:dyDescent="0.2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1"/>
    </row>
    <row r="2" spans="1:12" s="82" customFormat="1" ht="21.75" customHeight="1" x14ac:dyDescent="0.25">
      <c r="A2" s="83"/>
      <c r="B2" s="85" t="s">
        <v>0</v>
      </c>
      <c r="C2" s="83"/>
      <c r="D2" s="83"/>
      <c r="E2" s="83"/>
      <c r="F2" s="83"/>
      <c r="G2" s="83"/>
      <c r="H2" s="83"/>
      <c r="I2" s="86"/>
      <c r="J2" s="83"/>
      <c r="K2" s="83"/>
      <c r="L2" s="81"/>
    </row>
    <row r="3" spans="1:12" s="82" customFormat="1" ht="21.75" customHeight="1" x14ac:dyDescent="0.25">
      <c r="A3" s="83"/>
      <c r="B3" s="87" t="s">
        <v>1</v>
      </c>
      <c r="C3" s="83"/>
      <c r="D3" s="83"/>
      <c r="E3" s="83"/>
      <c r="F3" s="83"/>
      <c r="G3" s="83"/>
      <c r="H3" s="83"/>
      <c r="I3" s="83"/>
      <c r="J3" s="83"/>
      <c r="K3" s="83"/>
      <c r="L3" s="81"/>
    </row>
    <row r="4" spans="1:12" s="82" customFormat="1" ht="4.5" customHeight="1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1"/>
    </row>
    <row r="5" spans="1:12" s="82" customFormat="1" ht="19.5" customHeight="1" x14ac:dyDescent="0.25">
      <c r="A5" s="80"/>
      <c r="B5" s="89" t="s">
        <v>3</v>
      </c>
      <c r="C5" s="89"/>
      <c r="D5" s="89"/>
      <c r="E5" s="89"/>
      <c r="F5" s="89"/>
      <c r="G5" s="89"/>
      <c r="H5" s="89"/>
      <c r="I5" s="80"/>
      <c r="J5" s="80"/>
      <c r="K5" s="80"/>
      <c r="L5" s="81"/>
    </row>
    <row r="6" spans="1:12" s="82" customFormat="1" ht="19.5" customHeight="1" x14ac:dyDescent="0.25">
      <c r="A6" s="80"/>
      <c r="B6" s="90">
        <f ca="1">NOW()</f>
        <v>46088.843717939817</v>
      </c>
      <c r="C6" s="90"/>
      <c r="D6" s="90"/>
      <c r="E6" s="90"/>
      <c r="F6" s="90"/>
      <c r="G6" s="90"/>
      <c r="H6" s="80"/>
      <c r="I6" s="80"/>
      <c r="J6" s="80"/>
      <c r="K6" s="80"/>
      <c r="L6" s="81"/>
    </row>
    <row r="7" spans="1:12" s="82" customFormat="1" ht="19.5" customHeight="1" x14ac:dyDescent="0.2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1"/>
    </row>
    <row r="8" spans="1:12" s="82" customFormat="1" ht="19.5" customHeight="1" x14ac:dyDescent="0.2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1"/>
    </row>
    <row r="9" spans="1:12" s="82" customFormat="1" ht="19.5" customHeight="1" x14ac:dyDescent="0.25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1"/>
    </row>
    <row r="10" spans="1:12" s="82" customFormat="1" ht="19.5" customHeight="1" x14ac:dyDescent="0.25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1"/>
    </row>
    <row r="11" spans="1:12" s="82" customFormat="1" ht="19.5" customHeight="1" x14ac:dyDescent="0.25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1"/>
    </row>
    <row r="12" spans="1:12" ht="31.5" x14ac:dyDescent="0.25">
      <c r="A12" s="80"/>
      <c r="B12" s="84" t="s">
        <v>2</v>
      </c>
      <c r="C12" s="84"/>
      <c r="D12" s="84"/>
      <c r="E12" s="84"/>
      <c r="F12" s="84"/>
      <c r="G12" s="84"/>
      <c r="H12" s="84"/>
      <c r="I12" s="84"/>
      <c r="J12" s="84"/>
      <c r="K12" s="84"/>
      <c r="L12" s="5"/>
    </row>
    <row r="13" spans="1:12" s="82" customFormat="1" ht="19.5" customHeight="1" x14ac:dyDescent="0.25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1"/>
    </row>
    <row r="14" spans="1:12" s="82" customFormat="1" ht="19.5" customHeight="1" x14ac:dyDescent="0.25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1"/>
    </row>
    <row r="15" spans="1:12" s="82" customFormat="1" ht="19.5" customHeight="1" x14ac:dyDescent="0.25">
      <c r="A15" s="80"/>
      <c r="B15" s="80"/>
      <c r="C15" s="80"/>
      <c r="D15" s="91" t="s">
        <v>48</v>
      </c>
      <c r="E15" s="80"/>
      <c r="F15" s="80"/>
      <c r="G15" s="80"/>
      <c r="H15" s="80"/>
      <c r="I15" s="80"/>
      <c r="J15" s="80"/>
      <c r="K15" s="80"/>
      <c r="L15" s="81"/>
    </row>
    <row r="16" spans="1:12" s="82" customFormat="1" ht="19.5" customHeight="1" x14ac:dyDescent="0.25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1"/>
    </row>
    <row r="17" spans="1:12" s="82" customFormat="1" ht="19.5" customHeight="1" x14ac:dyDescent="0.2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1"/>
    </row>
    <row r="18" spans="1:12" s="82" customFormat="1" ht="19.5" customHeight="1" x14ac:dyDescent="0.2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1"/>
    </row>
    <row r="19" spans="1:12" s="82" customFormat="1" ht="19.5" customHeight="1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1"/>
    </row>
    <row r="20" spans="1:12" s="82" customFormat="1" ht="19.5" customHeight="1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1"/>
    </row>
    <row r="21" spans="1:12" s="82" customFormat="1" ht="19.5" customHeight="1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1"/>
    </row>
    <row r="22" spans="1:12" s="82" customFormat="1" ht="19.5" customHeight="1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1"/>
    </row>
    <row r="23" spans="1:12" s="82" customFormat="1" ht="19.5" customHeight="1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1"/>
    </row>
    <row r="24" spans="1:12" s="82" customFormat="1" ht="19.5" customHeight="1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1"/>
    </row>
    <row r="25" spans="1:12" s="82" customFormat="1" ht="4.5" customHeight="1" x14ac:dyDescent="0.25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1"/>
    </row>
    <row r="26" spans="1:12" x14ac:dyDescent="0.25"/>
    <row r="27" spans="1:12" hidden="1" x14ac:dyDescent="0.25">
      <c r="A27" s="2"/>
      <c r="B27" s="2"/>
      <c r="C27" s="2"/>
      <c r="D27" s="2"/>
      <c r="E27" s="2"/>
      <c r="F27" s="2"/>
      <c r="G27" s="2"/>
      <c r="H27" s="2"/>
      <c r="I27" s="2"/>
      <c r="J27" s="77"/>
      <c r="K27" s="77"/>
      <c r="L27" s="5"/>
    </row>
    <row r="28" spans="1:12" hidden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5"/>
    </row>
    <row r="29" spans="1:12" hidden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5"/>
    </row>
    <row r="30" spans="1:12" hidden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5"/>
    </row>
    <row r="31" spans="1:12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5"/>
    </row>
    <row r="32" spans="1:12" ht="3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5"/>
    </row>
  </sheetData>
  <sheetProtection algorithmName="SHA-512" hashValue="n9nAxadcPdbLG5+0BdqH+6ElC40lG3lN5qvx/n9RP3ozVDJ8AMb8EAerMgctvMRSiEeyWBFZ6XfnxzQAOuWw5w==" saltValue="goR/n3G2lqbT7EuaDt8kWw==" spinCount="100000" sheet="1" objects="1" scenarios="1"/>
  <mergeCells count="3">
    <mergeCell ref="J27:K27"/>
    <mergeCell ref="B6:G6"/>
    <mergeCell ref="B5:H5"/>
  </mergeCells>
  <hyperlinks>
    <hyperlink ref="B12:K12" location="'Simulação Mg de Contribuição'!A1" display="▶   Simulação  ·  Margem de Contribuição" xr:uid="{0FDEA18E-7309-4EF7-9D43-F117EC931EFA}"/>
    <hyperlink ref="B5" r:id="rId1" xr:uid="{86CD8669-50FC-48C7-AD07-3DF110A10FEA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96"/>
  <sheetViews>
    <sheetView showGridLines="0" zoomScaleNormal="100" workbookViewId="0">
      <pane xSplit="1" ySplit="7" topLeftCell="B8" activePane="bottomRight" state="frozen"/>
      <selection activeCell="D24" sqref="D24"/>
      <selection pane="topRight" activeCell="D24" sqref="D24"/>
      <selection pane="bottomLeft" activeCell="D24" sqref="D24"/>
      <selection pane="bottomRight" activeCell="I14" sqref="I14"/>
    </sheetView>
  </sheetViews>
  <sheetFormatPr defaultColWidth="9.140625" defaultRowHeight="15" x14ac:dyDescent="0.25"/>
  <cols>
    <col min="1" max="1" width="2" style="7" customWidth="1"/>
    <col min="2" max="2" width="38" style="7" customWidth="1"/>
    <col min="3" max="3" width="10" style="7" customWidth="1"/>
    <col min="4" max="4" width="16" style="7" customWidth="1"/>
    <col min="5" max="5" width="11" style="8" customWidth="1"/>
    <col min="6" max="6" width="14" style="7" customWidth="1"/>
    <col min="7" max="8" width="5" style="7" customWidth="1"/>
    <col min="9" max="31" width="12" style="7" customWidth="1"/>
    <col min="32" max="32" width="14" style="7" customWidth="1"/>
    <col min="33" max="34" width="13" style="7" customWidth="1"/>
    <col min="35" max="35" width="15" style="7" customWidth="1"/>
    <col min="36" max="37" width="13" style="7" customWidth="1"/>
    <col min="38" max="38" width="11.28515625" style="9" customWidth="1"/>
    <col min="39" max="256" width="9.140625" style="7"/>
  </cols>
  <sheetData>
    <row r="1" spans="1:41" ht="75" customHeight="1" x14ac:dyDescent="0.25">
      <c r="A1" s="2"/>
      <c r="B1" s="10" t="s">
        <v>4</v>
      </c>
      <c r="C1" s="4"/>
      <c r="D1" s="4"/>
      <c r="E1" s="4"/>
      <c r="F1" s="4"/>
      <c r="G1" s="11" t="s">
        <v>5</v>
      </c>
      <c r="H1" s="11"/>
      <c r="I1" s="4"/>
      <c r="J1" s="1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"/>
      <c r="AF1" s="1"/>
      <c r="AG1" s="1"/>
      <c r="AH1" s="1"/>
      <c r="AI1" s="1"/>
      <c r="AJ1" s="13"/>
      <c r="AK1" s="1"/>
      <c r="AL1" s="14"/>
      <c r="AM1" s="1"/>
      <c r="AN1" s="1"/>
      <c r="AO1" s="1"/>
    </row>
    <row r="2" spans="1:41" ht="4.5" customHeight="1" x14ac:dyDescent="0.25">
      <c r="A2" s="2"/>
      <c r="B2" s="6"/>
      <c r="C2" s="6"/>
      <c r="D2" s="6"/>
      <c r="E2" s="6"/>
      <c r="F2" s="6"/>
      <c r="G2" s="6"/>
      <c r="H2" s="6"/>
      <c r="I2" s="6"/>
      <c r="J2" s="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1"/>
      <c r="AF2" s="1"/>
      <c r="AG2" s="1"/>
      <c r="AH2" s="1"/>
      <c r="AI2" s="1"/>
      <c r="AJ2" s="13"/>
      <c r="AK2" s="1"/>
      <c r="AL2" s="14"/>
      <c r="AM2" s="1"/>
      <c r="AN2" s="1"/>
      <c r="AO2" s="1"/>
    </row>
    <row r="3" spans="1:41" ht="7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1"/>
      <c r="AF3" s="1"/>
      <c r="AG3" s="1"/>
      <c r="AH3" s="1"/>
      <c r="AI3" s="1"/>
      <c r="AJ3" s="13"/>
      <c r="AK3" s="1"/>
      <c r="AL3" s="14"/>
      <c r="AM3" s="1"/>
      <c r="AN3" s="1"/>
      <c r="AO3" s="1"/>
    </row>
    <row r="4" spans="1:41" ht="21.75" customHeight="1" thickBot="1" x14ac:dyDescent="0.3">
      <c r="A4" s="2"/>
      <c r="B4" s="2"/>
      <c r="C4" s="2"/>
      <c r="D4" s="2"/>
      <c r="E4" s="2"/>
      <c r="F4" s="2"/>
      <c r="G4" s="2"/>
      <c r="H4" s="2"/>
      <c r="I4" s="15" t="s">
        <v>6</v>
      </c>
      <c r="J4" s="16"/>
      <c r="K4" s="16"/>
      <c r="L4" s="17">
        <v>1500</v>
      </c>
      <c r="M4" s="16"/>
      <c r="N4" s="16"/>
      <c r="O4" s="16"/>
      <c r="P4" s="16"/>
      <c r="Q4" s="16"/>
      <c r="R4" s="16"/>
      <c r="S4" s="16"/>
      <c r="T4" s="16"/>
      <c r="U4" s="2"/>
      <c r="V4" s="2"/>
      <c r="W4" s="2"/>
      <c r="X4" s="2"/>
      <c r="Y4" s="2"/>
      <c r="Z4" s="2"/>
      <c r="AA4" s="2"/>
      <c r="AB4" s="2"/>
      <c r="AC4" s="2"/>
      <c r="AD4" s="2"/>
      <c r="AE4" s="1"/>
      <c r="AF4" s="1"/>
      <c r="AG4" s="1"/>
      <c r="AH4" s="1"/>
      <c r="AI4" s="1"/>
      <c r="AJ4" s="13"/>
      <c r="AK4" s="1"/>
      <c r="AL4" s="14"/>
      <c r="AM4" s="1"/>
      <c r="AN4" s="1"/>
      <c r="AO4" s="1"/>
    </row>
    <row r="5" spans="1:41" ht="36" customHeight="1" x14ac:dyDescent="0.25">
      <c r="A5" s="2"/>
      <c r="B5" s="79" t="s">
        <v>7</v>
      </c>
      <c r="C5" s="79"/>
      <c r="D5" s="79"/>
      <c r="E5" s="79"/>
      <c r="F5" s="79"/>
      <c r="G5" s="79"/>
      <c r="H5" s="1"/>
      <c r="I5" s="16"/>
      <c r="J5" s="16"/>
      <c r="K5" s="16"/>
      <c r="L5" s="16"/>
      <c r="M5" s="16"/>
      <c r="N5" s="18" t="s">
        <v>8</v>
      </c>
      <c r="O5" s="16"/>
      <c r="P5" s="19" t="s">
        <v>9</v>
      </c>
      <c r="Q5" s="20"/>
      <c r="R5" s="21">
        <f>-D28</f>
        <v>300000</v>
      </c>
      <c r="S5" s="16"/>
      <c r="T5" s="16"/>
      <c r="U5" s="2"/>
      <c r="V5" s="2"/>
      <c r="W5" s="2"/>
      <c r="X5" s="2"/>
      <c r="Y5" s="2"/>
      <c r="Z5" s="2"/>
      <c r="AA5" s="2"/>
      <c r="AB5" s="2"/>
      <c r="AC5" s="2"/>
      <c r="AD5" s="2"/>
      <c r="AE5" s="1"/>
      <c r="AF5" s="2"/>
      <c r="AG5" s="2"/>
      <c r="AH5" s="2"/>
      <c r="AI5" s="2"/>
      <c r="AJ5" s="13"/>
      <c r="AK5" s="2"/>
      <c r="AL5" s="2"/>
      <c r="AM5" s="2"/>
      <c r="AN5" s="2"/>
      <c r="AO5" s="1"/>
    </row>
    <row r="6" spans="1:41" ht="21.75" customHeight="1" x14ac:dyDescent="0.25">
      <c r="A6" s="2"/>
      <c r="B6" s="1"/>
      <c r="C6" s="1"/>
      <c r="D6" s="1"/>
      <c r="E6" s="1"/>
      <c r="F6" s="1"/>
      <c r="G6" s="1"/>
      <c r="H6" s="1"/>
      <c r="I6" s="22" t="s">
        <v>10</v>
      </c>
      <c r="J6" s="16"/>
      <c r="K6" s="16"/>
      <c r="L6" s="23">
        <f>((R5/(R7-R6)))</f>
        <v>24757.582009490408</v>
      </c>
      <c r="M6" s="16"/>
      <c r="N6" s="18" t="s">
        <v>11</v>
      </c>
      <c r="O6" s="16"/>
      <c r="P6" s="19" t="s">
        <v>12</v>
      </c>
      <c r="Q6" s="20"/>
      <c r="R6" s="21">
        <f>+F23</f>
        <v>24.8825</v>
      </c>
      <c r="S6" s="16"/>
      <c r="T6" s="16"/>
      <c r="U6" s="2"/>
      <c r="V6" s="2"/>
      <c r="W6" s="2"/>
      <c r="X6" s="2"/>
      <c r="Y6" s="2"/>
      <c r="Z6" s="2"/>
      <c r="AA6" s="2"/>
      <c r="AB6" s="2"/>
      <c r="AC6" s="2"/>
      <c r="AD6" s="2"/>
      <c r="AE6" s="1"/>
      <c r="AF6" s="1"/>
      <c r="AG6" s="1"/>
      <c r="AH6" s="1"/>
      <c r="AI6" s="1"/>
      <c r="AJ6" s="13"/>
      <c r="AK6" s="1"/>
      <c r="AL6" s="14"/>
      <c r="AM6" s="1"/>
      <c r="AN6" s="1"/>
      <c r="AO6" s="1"/>
    </row>
    <row r="7" spans="1:41" ht="27.75" customHeight="1" thickBot="1" x14ac:dyDescent="0.3">
      <c r="A7" s="2"/>
      <c r="B7" s="24" t="s">
        <v>13</v>
      </c>
      <c r="C7" s="24" t="s">
        <v>14</v>
      </c>
      <c r="D7" s="24" t="s">
        <v>15</v>
      </c>
      <c r="E7" s="24" t="s">
        <v>16</v>
      </c>
      <c r="F7" s="1"/>
      <c r="G7" s="1"/>
      <c r="H7" s="1"/>
      <c r="I7" s="22" t="s">
        <v>18</v>
      </c>
      <c r="J7" s="16"/>
      <c r="K7" s="16"/>
      <c r="L7" s="23">
        <f>(L6*R7)</f>
        <v>916030.53435114515</v>
      </c>
      <c r="M7" s="16"/>
      <c r="N7" s="18" t="s">
        <v>19</v>
      </c>
      <c r="O7" s="16"/>
      <c r="P7" s="19" t="s">
        <v>20</v>
      </c>
      <c r="Q7" s="20"/>
      <c r="R7" s="21">
        <f>+D8</f>
        <v>37</v>
      </c>
      <c r="S7" s="16"/>
      <c r="T7" s="16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13"/>
      <c r="AK7" s="25"/>
      <c r="AL7" s="14"/>
      <c r="AM7" s="1"/>
      <c r="AN7" s="25"/>
      <c r="AO7" s="1"/>
    </row>
    <row r="8" spans="1:41" ht="19.5" customHeight="1" thickBot="1" x14ac:dyDescent="0.3">
      <c r="A8" s="2"/>
      <c r="B8" s="26" t="s">
        <v>21</v>
      </c>
      <c r="C8" s="27"/>
      <c r="D8" s="28">
        <v>37</v>
      </c>
      <c r="E8" s="27"/>
      <c r="F8" s="1"/>
      <c r="G8" s="1"/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13"/>
      <c r="AK8" s="25"/>
      <c r="AL8" s="14"/>
      <c r="AM8" s="1"/>
      <c r="AN8" s="25"/>
      <c r="AO8" s="1"/>
    </row>
    <row r="9" spans="1:41" ht="19.5" customHeight="1" thickBot="1" x14ac:dyDescent="0.3">
      <c r="A9" s="2"/>
      <c r="B9" s="29" t="s">
        <v>22</v>
      </c>
      <c r="C9" s="30"/>
      <c r="D9" s="31">
        <v>30000</v>
      </c>
      <c r="E9" s="30"/>
      <c r="F9" s="1"/>
      <c r="G9" s="1"/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13"/>
      <c r="AK9" s="25"/>
      <c r="AL9" s="14"/>
      <c r="AM9" s="1"/>
      <c r="AN9" s="25"/>
      <c r="AO9" s="1"/>
    </row>
    <row r="10" spans="1:41" ht="19.5" customHeight="1" x14ac:dyDescent="0.25">
      <c r="A10" s="2"/>
      <c r="B10" s="33" t="s">
        <v>23</v>
      </c>
      <c r="C10" s="34"/>
      <c r="D10" s="35">
        <f>+D8*D9</f>
        <v>1110000</v>
      </c>
      <c r="E10" s="36">
        <f>D10/$D$10</f>
        <v>1</v>
      </c>
      <c r="F10" s="1"/>
      <c r="G10" s="1"/>
      <c r="H10" s="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1"/>
      <c r="AF10" s="1"/>
      <c r="AG10" s="1"/>
      <c r="AH10" s="1"/>
      <c r="AI10" s="1"/>
      <c r="AJ10" s="13"/>
      <c r="AK10" s="1"/>
      <c r="AL10" s="14"/>
      <c r="AM10" s="1"/>
      <c r="AN10" s="1"/>
      <c r="AO10" s="1"/>
    </row>
    <row r="11" spans="1:41" ht="19.5" customHeight="1" x14ac:dyDescent="0.25">
      <c r="A11" s="2"/>
      <c r="B11" s="33" t="s">
        <v>24</v>
      </c>
      <c r="C11" s="37">
        <f>SUM(C12:C16)</f>
        <v>0.27250000000000002</v>
      </c>
      <c r="D11" s="38">
        <f>SUM(D12:D16)</f>
        <v>-302475</v>
      </c>
      <c r="E11" s="36">
        <f>IFERROR(D11/$D$10,0)</f>
        <v>-0.27250000000000002</v>
      </c>
      <c r="F11" s="1"/>
      <c r="G11" s="1"/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1"/>
      <c r="AF11" s="1"/>
      <c r="AG11" s="1"/>
      <c r="AH11" s="1"/>
      <c r="AI11" s="1"/>
      <c r="AJ11" s="13"/>
      <c r="AK11" s="1"/>
      <c r="AL11" s="14"/>
      <c r="AM11" s="1"/>
      <c r="AN11" s="1"/>
      <c r="AO11" s="1"/>
    </row>
    <row r="12" spans="1:41" ht="19.5" customHeight="1" thickBot="1" x14ac:dyDescent="0.3">
      <c r="A12" s="2"/>
      <c r="B12" s="39" t="s">
        <v>25</v>
      </c>
      <c r="C12" s="74">
        <v>0.18</v>
      </c>
      <c r="D12" s="40">
        <f t="shared" ref="D12:D17" si="0">-$C12*$D$10</f>
        <v>-199800</v>
      </c>
      <c r="E12" s="27"/>
      <c r="F12" s="1"/>
      <c r="G12" s="1"/>
      <c r="H12" s="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1"/>
      <c r="AF12" s="78"/>
      <c r="AG12" s="78"/>
      <c r="AH12" s="78"/>
      <c r="AI12" s="78"/>
      <c r="AJ12" s="78"/>
      <c r="AK12" s="78"/>
      <c r="AL12" s="78"/>
      <c r="AM12" s="78"/>
      <c r="AN12" s="1"/>
      <c r="AO12" s="1"/>
    </row>
    <row r="13" spans="1:41" ht="19.5" customHeight="1" thickBot="1" x14ac:dyDescent="0.3">
      <c r="A13" s="2"/>
      <c r="B13" s="41" t="s">
        <v>26</v>
      </c>
      <c r="C13" s="74">
        <v>1.6500000000000001E-2</v>
      </c>
      <c r="D13" s="43">
        <f t="shared" si="0"/>
        <v>-18315</v>
      </c>
      <c r="E13" s="30"/>
      <c r="F13" s="1"/>
      <c r="G13" s="1"/>
      <c r="H13" s="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1"/>
      <c r="AF13" s="2"/>
      <c r="AG13" s="1"/>
      <c r="AH13" s="1"/>
      <c r="AI13" s="1"/>
      <c r="AJ13" s="13"/>
      <c r="AK13" s="1"/>
      <c r="AL13" s="14"/>
      <c r="AM13" s="1"/>
      <c r="AN13" s="1"/>
      <c r="AO13" s="1"/>
    </row>
    <row r="14" spans="1:41" ht="19.5" customHeight="1" thickBot="1" x14ac:dyDescent="0.3">
      <c r="A14" s="2"/>
      <c r="B14" s="39" t="s">
        <v>27</v>
      </c>
      <c r="C14" s="74">
        <v>7.5999999999999998E-2</v>
      </c>
      <c r="D14" s="40">
        <f t="shared" si="0"/>
        <v>-84360</v>
      </c>
      <c r="E14" s="27"/>
      <c r="F14" s="1"/>
      <c r="G14" s="1"/>
      <c r="H14" s="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1"/>
      <c r="AF14" s="1" t="s">
        <v>28</v>
      </c>
      <c r="AG14" s="1"/>
      <c r="AH14" s="1"/>
      <c r="AI14" s="44">
        <f>+L4</f>
        <v>1500</v>
      </c>
      <c r="AJ14" s="13"/>
      <c r="AK14" s="1"/>
      <c r="AL14" s="14"/>
      <c r="AM14" s="1"/>
      <c r="AN14" s="1"/>
      <c r="AO14" s="1"/>
    </row>
    <row r="15" spans="1:41" ht="19.5" customHeight="1" x14ac:dyDescent="0.25">
      <c r="A15" s="2"/>
      <c r="B15" s="41" t="s">
        <v>29</v>
      </c>
      <c r="C15" s="45"/>
      <c r="D15" s="43">
        <f t="shared" si="0"/>
        <v>0</v>
      </c>
      <c r="E15" s="30"/>
      <c r="F15" s="1"/>
      <c r="G15" s="1"/>
      <c r="H15" s="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1"/>
      <c r="AF15" s="1"/>
      <c r="AG15" s="1"/>
      <c r="AH15" s="1"/>
      <c r="AI15" s="1"/>
      <c r="AJ15" s="13"/>
      <c r="AK15" s="1"/>
      <c r="AL15" s="14"/>
      <c r="AM15" s="1"/>
      <c r="AN15" s="1"/>
      <c r="AO15" s="1"/>
    </row>
    <row r="16" spans="1:41" ht="19.5" customHeight="1" x14ac:dyDescent="0.25">
      <c r="A16" s="2"/>
      <c r="B16" s="39" t="s">
        <v>30</v>
      </c>
      <c r="C16" s="46"/>
      <c r="D16" s="40">
        <f t="shared" si="0"/>
        <v>0</v>
      </c>
      <c r="E16" s="27"/>
      <c r="F16" s="1"/>
      <c r="G16" s="1"/>
      <c r="H16" s="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"/>
      <c r="AF16" s="1"/>
      <c r="AG16" s="1"/>
      <c r="AH16" s="1"/>
      <c r="AI16" s="1"/>
      <c r="AJ16" s="13"/>
      <c r="AK16" s="1"/>
      <c r="AL16" s="14"/>
      <c r="AM16" s="1"/>
      <c r="AN16" s="1"/>
      <c r="AO16" s="1"/>
    </row>
    <row r="17" spans="1:41" ht="19.5" customHeight="1" x14ac:dyDescent="0.25">
      <c r="A17" s="2"/>
      <c r="B17" s="47" t="s">
        <v>31</v>
      </c>
      <c r="C17" s="42">
        <v>0.3</v>
      </c>
      <c r="D17" s="43">
        <f t="shared" si="0"/>
        <v>-333000</v>
      </c>
      <c r="E17" s="48">
        <f>IFERROR(D17/$D$10,0)</f>
        <v>-0.3</v>
      </c>
      <c r="F17" s="1"/>
      <c r="G17" s="1"/>
      <c r="H17" s="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52" customFormat="1" ht="19.5" customHeight="1" thickBot="1" x14ac:dyDescent="0.25">
      <c r="A18" s="2"/>
      <c r="B18" s="27"/>
      <c r="C18" s="49"/>
      <c r="D18" s="50"/>
      <c r="E18" s="49"/>
      <c r="F18" s="1"/>
      <c r="G18" s="1"/>
      <c r="H18" s="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1"/>
      <c r="AF18" s="51" t="s">
        <v>32</v>
      </c>
      <c r="AG18" s="51" t="s">
        <v>9</v>
      </c>
      <c r="AH18" s="51" t="s">
        <v>33</v>
      </c>
      <c r="AI18" s="51" t="s">
        <v>34</v>
      </c>
      <c r="AJ18" s="51" t="s">
        <v>35</v>
      </c>
      <c r="AK18" s="51" t="s">
        <v>36</v>
      </c>
      <c r="AL18" s="1"/>
      <c r="AM18" s="1"/>
      <c r="AN18" s="1"/>
      <c r="AO18" s="1"/>
    </row>
    <row r="19" spans="1:41" ht="19.5" customHeight="1" x14ac:dyDescent="0.25">
      <c r="A19" s="2"/>
      <c r="B19" s="33" t="s">
        <v>37</v>
      </c>
      <c r="C19" s="37">
        <f>SUM(C20:C22)</f>
        <v>0.1</v>
      </c>
      <c r="D19" s="38">
        <f>SUM(D20:D22)</f>
        <v>-111000</v>
      </c>
      <c r="E19" s="36">
        <f>IFERROR(D19/$D$10,0)</f>
        <v>-0.1</v>
      </c>
      <c r="F19" s="1"/>
      <c r="G19" s="1"/>
      <c r="H19" s="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1"/>
      <c r="AF19" s="53">
        <v>0</v>
      </c>
      <c r="AG19" s="53">
        <f>$R$5</f>
        <v>300000</v>
      </c>
      <c r="AH19" s="53">
        <f t="shared" ref="AH19:AH47" si="1">(AF19*$R$6)</f>
        <v>0</v>
      </c>
      <c r="AI19" s="53">
        <f t="shared" ref="AI19:AI47" si="2">(AG19+AH19)</f>
        <v>300000</v>
      </c>
      <c r="AJ19" s="53">
        <f t="shared" ref="AJ19:AJ47" si="3">(AF19*$R$7)</f>
        <v>0</v>
      </c>
      <c r="AK19" s="53">
        <f t="shared" ref="AK19:AK47" si="4">(AJ19-AI19)</f>
        <v>-300000</v>
      </c>
      <c r="AL19" s="1"/>
      <c r="AM19" s="1"/>
      <c r="AN19" s="1"/>
      <c r="AO19" s="2"/>
    </row>
    <row r="20" spans="1:41" ht="19.5" customHeight="1" thickBot="1" x14ac:dyDescent="0.3">
      <c r="A20" s="2"/>
      <c r="B20" s="39" t="s">
        <v>38</v>
      </c>
      <c r="C20" s="74">
        <v>0.05</v>
      </c>
      <c r="D20" s="40">
        <f>-$C20*$D$10</f>
        <v>-55500</v>
      </c>
      <c r="E20" s="27"/>
      <c r="F20" s="1"/>
      <c r="G20" s="1"/>
      <c r="H20" s="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"/>
      <c r="AF20" s="54">
        <f t="shared" ref="AF20:AF47" si="5">$AI$14+AF19</f>
        <v>1500</v>
      </c>
      <c r="AG20" s="54">
        <f t="shared" ref="AG20:AG47" si="6">+AG19</f>
        <v>300000</v>
      </c>
      <c r="AH20" s="54">
        <f t="shared" si="1"/>
        <v>37323.75</v>
      </c>
      <c r="AI20" s="54">
        <f t="shared" si="2"/>
        <v>337323.75</v>
      </c>
      <c r="AJ20" s="54">
        <f t="shared" si="3"/>
        <v>55500</v>
      </c>
      <c r="AK20" s="54">
        <f t="shared" si="4"/>
        <v>-281823.75</v>
      </c>
      <c r="AL20" s="1"/>
      <c r="AM20" s="1"/>
      <c r="AN20" s="1"/>
      <c r="AO20" s="2"/>
    </row>
    <row r="21" spans="1:41" ht="19.5" customHeight="1" thickBot="1" x14ac:dyDescent="0.3">
      <c r="A21" s="2"/>
      <c r="B21" s="41" t="s">
        <v>39</v>
      </c>
      <c r="C21" s="74">
        <v>0.03</v>
      </c>
      <c r="D21" s="43">
        <f>-$C21*$D$10</f>
        <v>-33300</v>
      </c>
      <c r="E21" s="30"/>
      <c r="F21" s="1"/>
      <c r="G21" s="1"/>
      <c r="H21" s="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"/>
      <c r="AF21" s="53">
        <f t="shared" si="5"/>
        <v>3000</v>
      </c>
      <c r="AG21" s="53">
        <f t="shared" si="6"/>
        <v>300000</v>
      </c>
      <c r="AH21" s="53">
        <f t="shared" si="1"/>
        <v>74647.5</v>
      </c>
      <c r="AI21" s="53">
        <f t="shared" si="2"/>
        <v>374647.5</v>
      </c>
      <c r="AJ21" s="53">
        <f t="shared" si="3"/>
        <v>111000</v>
      </c>
      <c r="AK21" s="53">
        <f t="shared" si="4"/>
        <v>-263647.5</v>
      </c>
      <c r="AL21" s="1"/>
      <c r="AM21" s="1"/>
      <c r="AN21" s="1"/>
      <c r="AO21" s="2"/>
    </row>
    <row r="22" spans="1:41" ht="19.5" customHeight="1" thickBot="1" x14ac:dyDescent="0.3">
      <c r="A22" s="2"/>
      <c r="B22" s="39" t="s">
        <v>40</v>
      </c>
      <c r="C22" s="74">
        <v>0.02</v>
      </c>
      <c r="D22" s="40">
        <f>-$C22*$D$10</f>
        <v>-22200</v>
      </c>
      <c r="E22" s="27"/>
      <c r="F22" s="24" t="s">
        <v>17</v>
      </c>
      <c r="G22" s="24"/>
      <c r="H22" s="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"/>
      <c r="AF22" s="54">
        <f t="shared" si="5"/>
        <v>4500</v>
      </c>
      <c r="AG22" s="54">
        <f t="shared" si="6"/>
        <v>300000</v>
      </c>
      <c r="AH22" s="54">
        <f t="shared" si="1"/>
        <v>111971.25</v>
      </c>
      <c r="AI22" s="54">
        <f t="shared" si="2"/>
        <v>411971.25</v>
      </c>
      <c r="AJ22" s="54">
        <f t="shared" si="3"/>
        <v>166500</v>
      </c>
      <c r="AK22" s="54">
        <f t="shared" si="4"/>
        <v>-245471.25</v>
      </c>
      <c r="AL22" s="1"/>
      <c r="AM22" s="1"/>
      <c r="AN22" s="1"/>
      <c r="AO22" s="2"/>
    </row>
    <row r="23" spans="1:41" ht="19.5" customHeight="1" x14ac:dyDescent="0.25">
      <c r="A23" s="2"/>
      <c r="B23" s="33" t="s">
        <v>41</v>
      </c>
      <c r="C23" s="37">
        <f>SUM(C12:C21)</f>
        <v>0.75250000000000006</v>
      </c>
      <c r="D23" s="38">
        <f>+D19+D17+D11</f>
        <v>-746475</v>
      </c>
      <c r="E23" s="36">
        <f>IFERROR(D23/$D$10,0)</f>
        <v>-0.67249999999999999</v>
      </c>
      <c r="F23" s="38">
        <f>-E23*D8</f>
        <v>24.8825</v>
      </c>
      <c r="G23" s="55" t="s">
        <v>42</v>
      </c>
      <c r="H23" s="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"/>
      <c r="AF23" s="53">
        <f t="shared" si="5"/>
        <v>6000</v>
      </c>
      <c r="AG23" s="53">
        <f t="shared" si="6"/>
        <v>300000</v>
      </c>
      <c r="AH23" s="53">
        <f t="shared" si="1"/>
        <v>149295</v>
      </c>
      <c r="AI23" s="53">
        <f t="shared" si="2"/>
        <v>449295</v>
      </c>
      <c r="AJ23" s="53">
        <f t="shared" si="3"/>
        <v>222000</v>
      </c>
      <c r="AK23" s="53">
        <f t="shared" si="4"/>
        <v>-227295</v>
      </c>
      <c r="AL23" s="1"/>
      <c r="AM23" s="1"/>
      <c r="AN23" s="1"/>
      <c r="AO23" s="2"/>
    </row>
    <row r="24" spans="1:41" s="52" customFormat="1" ht="19.5" customHeight="1" thickBot="1" x14ac:dyDescent="0.25">
      <c r="A24" s="1"/>
      <c r="B24" s="1"/>
      <c r="C24" s="1"/>
      <c r="D24" s="1"/>
      <c r="E24" s="1"/>
      <c r="F24" s="1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"/>
      <c r="AF24" s="54">
        <f t="shared" si="5"/>
        <v>7500</v>
      </c>
      <c r="AG24" s="54">
        <f t="shared" si="6"/>
        <v>300000</v>
      </c>
      <c r="AH24" s="54">
        <f t="shared" si="1"/>
        <v>186618.75</v>
      </c>
      <c r="AI24" s="54">
        <f t="shared" si="2"/>
        <v>486618.75</v>
      </c>
      <c r="AJ24" s="54">
        <f t="shared" si="3"/>
        <v>277500</v>
      </c>
      <c r="AK24" s="54">
        <f t="shared" si="4"/>
        <v>-209118.75</v>
      </c>
      <c r="AL24" s="1"/>
      <c r="AM24" s="1"/>
      <c r="AN24" s="1"/>
      <c r="AO24" s="1"/>
    </row>
    <row r="25" spans="1:41" ht="19.5" customHeight="1" thickBot="1" x14ac:dyDescent="0.3">
      <c r="A25" s="2"/>
      <c r="B25" s="70" t="s">
        <v>43</v>
      </c>
      <c r="C25" s="71"/>
      <c r="D25" s="72">
        <f>+D10+D23</f>
        <v>363525</v>
      </c>
      <c r="E25" s="73">
        <f>IFERROR(D25/$D$10,0)</f>
        <v>0.32750000000000001</v>
      </c>
      <c r="F25" s="75">
        <f>+D25/D9</f>
        <v>12.1175</v>
      </c>
      <c r="G25" s="76" t="s">
        <v>42</v>
      </c>
      <c r="H25" s="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"/>
      <c r="AF25" s="53">
        <f t="shared" si="5"/>
        <v>9000</v>
      </c>
      <c r="AG25" s="53">
        <f t="shared" si="6"/>
        <v>300000</v>
      </c>
      <c r="AH25" s="53">
        <f t="shared" si="1"/>
        <v>223942.5</v>
      </c>
      <c r="AI25" s="53">
        <f t="shared" si="2"/>
        <v>523942.5</v>
      </c>
      <c r="AJ25" s="53">
        <f t="shared" si="3"/>
        <v>333000</v>
      </c>
      <c r="AK25" s="53">
        <f t="shared" si="4"/>
        <v>-190942.5</v>
      </c>
      <c r="AL25" s="1"/>
      <c r="AM25" s="1"/>
      <c r="AN25" s="1"/>
      <c r="AO25" s="2"/>
    </row>
    <row r="26" spans="1:41" ht="19.5" customHeight="1" thickBot="1" x14ac:dyDescent="0.3">
      <c r="A26" s="2"/>
      <c r="B26" s="67" t="s">
        <v>44</v>
      </c>
      <c r="C26" s="68"/>
      <c r="D26" s="56">
        <v>-200000</v>
      </c>
      <c r="E26" s="68"/>
      <c r="F26" s="68"/>
      <c r="G26" s="69"/>
      <c r="H26" s="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"/>
      <c r="AF26" s="54">
        <f t="shared" si="5"/>
        <v>10500</v>
      </c>
      <c r="AG26" s="54">
        <f t="shared" si="6"/>
        <v>300000</v>
      </c>
      <c r="AH26" s="54">
        <f t="shared" si="1"/>
        <v>261266.25</v>
      </c>
      <c r="AI26" s="54">
        <f t="shared" si="2"/>
        <v>561266.25</v>
      </c>
      <c r="AJ26" s="54">
        <f t="shared" si="3"/>
        <v>388500</v>
      </c>
      <c r="AK26" s="54">
        <f t="shared" si="4"/>
        <v>-172766.25</v>
      </c>
      <c r="AL26" s="1"/>
      <c r="AM26" s="1"/>
      <c r="AN26" s="1"/>
      <c r="AO26" s="2"/>
    </row>
    <row r="27" spans="1:41" ht="19.5" customHeight="1" thickBot="1" x14ac:dyDescent="0.3">
      <c r="A27" s="2"/>
      <c r="B27" s="47" t="s">
        <v>45</v>
      </c>
      <c r="C27" s="30"/>
      <c r="D27" s="56">
        <v>-100000</v>
      </c>
      <c r="E27" s="30"/>
      <c r="F27" s="30"/>
      <c r="G27" s="32"/>
      <c r="H27" s="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"/>
      <c r="AF27" s="53">
        <f t="shared" si="5"/>
        <v>12000</v>
      </c>
      <c r="AG27" s="53">
        <f t="shared" si="6"/>
        <v>300000</v>
      </c>
      <c r="AH27" s="53">
        <f t="shared" si="1"/>
        <v>298590</v>
      </c>
      <c r="AI27" s="53">
        <f t="shared" si="2"/>
        <v>598590</v>
      </c>
      <c r="AJ27" s="53">
        <f t="shared" si="3"/>
        <v>444000</v>
      </c>
      <c r="AK27" s="53">
        <f t="shared" si="4"/>
        <v>-154590</v>
      </c>
      <c r="AL27" s="1"/>
      <c r="AM27" s="1"/>
      <c r="AN27" s="1"/>
      <c r="AO27" s="2"/>
    </row>
    <row r="28" spans="1:41" ht="19.5" customHeight="1" x14ac:dyDescent="0.25">
      <c r="A28" s="2"/>
      <c r="B28" s="33" t="s">
        <v>46</v>
      </c>
      <c r="C28" s="57"/>
      <c r="D28" s="38">
        <f>IF(SUM(D26:D27),SUM(D26:D27),"")</f>
        <v>-300000</v>
      </c>
      <c r="E28" s="36">
        <f>IFERROR(D28/$D$10,0)</f>
        <v>-0.27027027027027029</v>
      </c>
      <c r="F28" s="38">
        <f>IFERROR(-$D$8*E28,0)</f>
        <v>10</v>
      </c>
      <c r="G28" s="55" t="s">
        <v>42</v>
      </c>
      <c r="H28" s="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"/>
      <c r="AF28" s="54">
        <f t="shared" si="5"/>
        <v>13500</v>
      </c>
      <c r="AG28" s="54">
        <f t="shared" si="6"/>
        <v>300000</v>
      </c>
      <c r="AH28" s="54">
        <f t="shared" si="1"/>
        <v>335913.75</v>
      </c>
      <c r="AI28" s="54">
        <f t="shared" si="2"/>
        <v>635913.75</v>
      </c>
      <c r="AJ28" s="54">
        <f t="shared" si="3"/>
        <v>499500</v>
      </c>
      <c r="AK28" s="54">
        <f t="shared" si="4"/>
        <v>-136413.75</v>
      </c>
      <c r="AL28" s="1"/>
      <c r="AM28" s="1"/>
      <c r="AN28" s="1"/>
      <c r="AO28" s="2"/>
    </row>
    <row r="29" spans="1:41" s="52" customFormat="1" ht="19.5" customHeight="1" x14ac:dyDescent="0.2">
      <c r="A29" s="2"/>
      <c r="B29" s="30"/>
      <c r="C29" s="58"/>
      <c r="D29" s="59"/>
      <c r="E29" s="60"/>
      <c r="F29" s="30"/>
      <c r="G29" s="30"/>
      <c r="H29" s="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1"/>
      <c r="AF29" s="53">
        <f t="shared" si="5"/>
        <v>15000</v>
      </c>
      <c r="AG29" s="53">
        <f t="shared" si="6"/>
        <v>300000</v>
      </c>
      <c r="AH29" s="53">
        <f t="shared" si="1"/>
        <v>373237.5</v>
      </c>
      <c r="AI29" s="53">
        <f t="shared" si="2"/>
        <v>673237.5</v>
      </c>
      <c r="AJ29" s="53">
        <f t="shared" si="3"/>
        <v>555000</v>
      </c>
      <c r="AK29" s="53">
        <f t="shared" si="4"/>
        <v>-118237.5</v>
      </c>
      <c r="AL29" s="1"/>
      <c r="AM29" s="1"/>
      <c r="AN29" s="1"/>
      <c r="AO29" s="1"/>
    </row>
    <row r="30" spans="1:41" ht="19.5" customHeight="1" x14ac:dyDescent="0.25">
      <c r="A30" s="2"/>
      <c r="B30" s="61" t="s">
        <v>47</v>
      </c>
      <c r="C30" s="62"/>
      <c r="D30" s="63">
        <f>IF(SUM(D28),D25+D28,"")</f>
        <v>63525</v>
      </c>
      <c r="E30" s="64">
        <f>IFERROR(D30/$D$10,0)</f>
        <v>5.7229729729729728E-2</v>
      </c>
      <c r="F30" s="65">
        <f>$D$8*E30</f>
        <v>2.1174999999999997</v>
      </c>
      <c r="G30" s="66" t="s">
        <v>42</v>
      </c>
      <c r="H30" s="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1"/>
      <c r="AF30" s="54">
        <f t="shared" si="5"/>
        <v>16500</v>
      </c>
      <c r="AG30" s="54">
        <f t="shared" si="6"/>
        <v>300000</v>
      </c>
      <c r="AH30" s="54">
        <f t="shared" si="1"/>
        <v>410561.25</v>
      </c>
      <c r="AI30" s="54">
        <f t="shared" si="2"/>
        <v>710561.25</v>
      </c>
      <c r="AJ30" s="54">
        <f t="shared" si="3"/>
        <v>610500</v>
      </c>
      <c r="AK30" s="54">
        <f t="shared" si="4"/>
        <v>-100061.25</v>
      </c>
      <c r="AL30" s="1"/>
      <c r="AM30" s="1"/>
      <c r="AN30" s="1"/>
      <c r="AO30" s="2"/>
    </row>
    <row r="31" spans="1:41" ht="19.5" customHeight="1" x14ac:dyDescent="0.25">
      <c r="A31" s="2"/>
      <c r="B31" s="2"/>
      <c r="C31" s="2"/>
      <c r="D31" s="2"/>
      <c r="E31" s="2"/>
      <c r="F31" s="2"/>
      <c r="G31" s="1"/>
      <c r="H31" s="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1"/>
      <c r="AF31" s="53">
        <f t="shared" si="5"/>
        <v>18000</v>
      </c>
      <c r="AG31" s="53">
        <f t="shared" si="6"/>
        <v>300000</v>
      </c>
      <c r="AH31" s="53">
        <f t="shared" si="1"/>
        <v>447885</v>
      </c>
      <c r="AI31" s="53">
        <f t="shared" si="2"/>
        <v>747885</v>
      </c>
      <c r="AJ31" s="53">
        <f t="shared" si="3"/>
        <v>666000</v>
      </c>
      <c r="AK31" s="53">
        <f t="shared" si="4"/>
        <v>-81885</v>
      </c>
      <c r="AL31" s="1"/>
      <c r="AM31" s="1"/>
      <c r="AN31" s="1"/>
      <c r="AO31" s="2"/>
    </row>
    <row r="32" spans="1:41" ht="19.5" customHeight="1" x14ac:dyDescent="0.25">
      <c r="A32" s="2"/>
      <c r="B32" s="2"/>
      <c r="C32" s="2"/>
      <c r="D32" s="2"/>
      <c r="E32" s="2"/>
      <c r="F32" s="2"/>
      <c r="G32" s="1"/>
      <c r="H32" s="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1"/>
      <c r="AF32" s="54">
        <f t="shared" si="5"/>
        <v>19500</v>
      </c>
      <c r="AG32" s="54">
        <f t="shared" si="6"/>
        <v>300000</v>
      </c>
      <c r="AH32" s="54">
        <f t="shared" si="1"/>
        <v>485208.75</v>
      </c>
      <c r="AI32" s="54">
        <f t="shared" si="2"/>
        <v>785208.75</v>
      </c>
      <c r="AJ32" s="54">
        <f t="shared" si="3"/>
        <v>721500</v>
      </c>
      <c r="AK32" s="54">
        <f t="shared" si="4"/>
        <v>-63708.75</v>
      </c>
      <c r="AL32" s="1"/>
      <c r="AM32" s="1"/>
      <c r="AN32" s="1"/>
      <c r="AO32" s="2"/>
    </row>
    <row r="33" spans="1:41" ht="19.5" customHeight="1" x14ac:dyDescent="0.25">
      <c r="A33" s="1"/>
      <c r="B33" s="1"/>
      <c r="C33" s="1"/>
      <c r="D33" s="1"/>
      <c r="E33" s="2"/>
      <c r="F33" s="1"/>
      <c r="G33" s="1"/>
      <c r="H33" s="1"/>
      <c r="I33" s="1"/>
      <c r="J33" s="1"/>
      <c r="K33" s="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1"/>
      <c r="AF33" s="53">
        <f t="shared" si="5"/>
        <v>21000</v>
      </c>
      <c r="AG33" s="53">
        <f t="shared" si="6"/>
        <v>300000</v>
      </c>
      <c r="AH33" s="53">
        <f t="shared" si="1"/>
        <v>522532.5</v>
      </c>
      <c r="AI33" s="53">
        <f t="shared" si="2"/>
        <v>822532.5</v>
      </c>
      <c r="AJ33" s="53">
        <f t="shared" si="3"/>
        <v>777000</v>
      </c>
      <c r="AK33" s="53">
        <f t="shared" si="4"/>
        <v>-45532.5</v>
      </c>
      <c r="AL33" s="1"/>
      <c r="AM33" s="1"/>
      <c r="AN33" s="1"/>
      <c r="AO33" s="2"/>
    </row>
    <row r="34" spans="1:41" ht="19.5" customHeight="1" x14ac:dyDescent="0.25">
      <c r="A34" s="1"/>
      <c r="B34" s="1"/>
      <c r="C34" s="1"/>
      <c r="D34" s="1"/>
      <c r="E34" s="2"/>
      <c r="F34" s="1"/>
      <c r="G34" s="1"/>
      <c r="H34" s="1"/>
      <c r="I34" s="1"/>
      <c r="J34" s="1"/>
      <c r="K34" s="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1"/>
      <c r="AF34" s="54">
        <f t="shared" si="5"/>
        <v>22500</v>
      </c>
      <c r="AG34" s="54">
        <f t="shared" si="6"/>
        <v>300000</v>
      </c>
      <c r="AH34" s="54">
        <f t="shared" si="1"/>
        <v>559856.25</v>
      </c>
      <c r="AI34" s="54">
        <f t="shared" si="2"/>
        <v>859856.25</v>
      </c>
      <c r="AJ34" s="54">
        <f t="shared" si="3"/>
        <v>832500</v>
      </c>
      <c r="AK34" s="54">
        <f t="shared" si="4"/>
        <v>-27356.25</v>
      </c>
      <c r="AL34" s="1"/>
      <c r="AM34" s="1"/>
      <c r="AN34" s="1"/>
      <c r="AO34" s="2"/>
    </row>
    <row r="35" spans="1:41" ht="19.5" customHeight="1" x14ac:dyDescent="0.25">
      <c r="A35" s="1"/>
      <c r="B35" s="1"/>
      <c r="C35" s="1"/>
      <c r="D35" s="1"/>
      <c r="E35" s="2"/>
      <c r="F35" s="1"/>
      <c r="G35" s="1"/>
      <c r="H35" s="1"/>
      <c r="I35" s="1"/>
      <c r="J35" s="1"/>
      <c r="K35" s="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1"/>
      <c r="AF35" s="53">
        <f t="shared" si="5"/>
        <v>24000</v>
      </c>
      <c r="AG35" s="53">
        <f t="shared" si="6"/>
        <v>300000</v>
      </c>
      <c r="AH35" s="53">
        <f t="shared" si="1"/>
        <v>597180</v>
      </c>
      <c r="AI35" s="53">
        <f t="shared" si="2"/>
        <v>897180</v>
      </c>
      <c r="AJ35" s="53">
        <f t="shared" si="3"/>
        <v>888000</v>
      </c>
      <c r="AK35" s="53">
        <f t="shared" si="4"/>
        <v>-9180</v>
      </c>
      <c r="AL35" s="1"/>
      <c r="AM35" s="1"/>
      <c r="AN35" s="1"/>
      <c r="AO35" s="2"/>
    </row>
    <row r="36" spans="1:41" ht="19.5" customHeight="1" x14ac:dyDescent="0.25">
      <c r="A36" s="1"/>
      <c r="B36" s="1"/>
      <c r="C36" s="1"/>
      <c r="D36" s="1"/>
      <c r="E36" s="2"/>
      <c r="F36" s="1"/>
      <c r="G36" s="1"/>
      <c r="H36" s="1"/>
      <c r="I36" s="1"/>
      <c r="J36" s="1"/>
      <c r="K36" s="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1"/>
      <c r="AF36" s="54">
        <f t="shared" si="5"/>
        <v>25500</v>
      </c>
      <c r="AG36" s="54">
        <f t="shared" si="6"/>
        <v>300000</v>
      </c>
      <c r="AH36" s="54">
        <f t="shared" si="1"/>
        <v>634503.75</v>
      </c>
      <c r="AI36" s="54">
        <f t="shared" si="2"/>
        <v>934503.75</v>
      </c>
      <c r="AJ36" s="54">
        <f t="shared" si="3"/>
        <v>943500</v>
      </c>
      <c r="AK36" s="54">
        <f t="shared" si="4"/>
        <v>8996.25</v>
      </c>
      <c r="AL36" s="1"/>
      <c r="AM36" s="1"/>
      <c r="AN36" s="1"/>
      <c r="AO36" s="2"/>
    </row>
    <row r="37" spans="1:41" ht="19.5" customHeight="1" x14ac:dyDescent="0.25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1"/>
      <c r="AF37" s="53">
        <f t="shared" si="5"/>
        <v>27000</v>
      </c>
      <c r="AG37" s="53">
        <f t="shared" si="6"/>
        <v>300000</v>
      </c>
      <c r="AH37" s="53">
        <f t="shared" si="1"/>
        <v>671827.5</v>
      </c>
      <c r="AI37" s="53">
        <f t="shared" si="2"/>
        <v>971827.5</v>
      </c>
      <c r="AJ37" s="53">
        <f t="shared" si="3"/>
        <v>999000</v>
      </c>
      <c r="AK37" s="53">
        <f t="shared" si="4"/>
        <v>27172.5</v>
      </c>
      <c r="AL37" s="1"/>
      <c r="AM37" s="1"/>
      <c r="AN37" s="1"/>
      <c r="AO37" s="2"/>
    </row>
    <row r="38" spans="1:41" ht="19.5" customHeight="1" x14ac:dyDescent="0.25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1"/>
      <c r="AF38" s="54">
        <f t="shared" si="5"/>
        <v>28500</v>
      </c>
      <c r="AG38" s="54">
        <f t="shared" si="6"/>
        <v>300000</v>
      </c>
      <c r="AH38" s="54">
        <f t="shared" si="1"/>
        <v>709151.25</v>
      </c>
      <c r="AI38" s="54">
        <f t="shared" si="2"/>
        <v>1009151.25</v>
      </c>
      <c r="AJ38" s="54">
        <f t="shared" si="3"/>
        <v>1054500</v>
      </c>
      <c r="AK38" s="54">
        <f t="shared" si="4"/>
        <v>45348.75</v>
      </c>
      <c r="AL38" s="1"/>
      <c r="AM38" s="1"/>
      <c r="AN38" s="1"/>
      <c r="AO38" s="2"/>
    </row>
    <row r="39" spans="1:41" ht="19.5" customHeight="1" x14ac:dyDescent="0.25">
      <c r="A39" s="1"/>
      <c r="B39" s="1"/>
      <c r="C39" s="1"/>
      <c r="D39" s="1"/>
      <c r="E39" s="2"/>
      <c r="F39" s="1"/>
      <c r="G39" s="1"/>
      <c r="H39" s="1"/>
      <c r="I39" s="1"/>
      <c r="J39" s="1"/>
      <c r="K39" s="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1"/>
      <c r="AF39" s="53">
        <f t="shared" si="5"/>
        <v>30000</v>
      </c>
      <c r="AG39" s="53">
        <f t="shared" si="6"/>
        <v>300000</v>
      </c>
      <c r="AH39" s="53">
        <f t="shared" si="1"/>
        <v>746475</v>
      </c>
      <c r="AI39" s="53">
        <f t="shared" si="2"/>
        <v>1046475</v>
      </c>
      <c r="AJ39" s="53">
        <f t="shared" si="3"/>
        <v>1110000</v>
      </c>
      <c r="AK39" s="53">
        <f t="shared" si="4"/>
        <v>63525</v>
      </c>
      <c r="AL39" s="1"/>
      <c r="AM39" s="1"/>
      <c r="AN39" s="1"/>
      <c r="AO39" s="2"/>
    </row>
    <row r="40" spans="1:41" ht="19.5" customHeight="1" x14ac:dyDescent="0.25">
      <c r="A40" s="1"/>
      <c r="B40" s="1"/>
      <c r="C40" s="1"/>
      <c r="D40" s="1"/>
      <c r="E40" s="2"/>
      <c r="F40" s="1"/>
      <c r="G40" s="1"/>
      <c r="H40" s="1"/>
      <c r="I40" s="1"/>
      <c r="J40" s="1"/>
      <c r="K40" s="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1"/>
      <c r="AF40" s="54">
        <f t="shared" si="5"/>
        <v>31500</v>
      </c>
      <c r="AG40" s="54">
        <f t="shared" si="6"/>
        <v>300000</v>
      </c>
      <c r="AH40" s="54">
        <f t="shared" si="1"/>
        <v>783798.75</v>
      </c>
      <c r="AI40" s="54">
        <f t="shared" si="2"/>
        <v>1083798.75</v>
      </c>
      <c r="AJ40" s="54">
        <f t="shared" si="3"/>
        <v>1165500</v>
      </c>
      <c r="AK40" s="54">
        <f t="shared" si="4"/>
        <v>81701.25</v>
      </c>
      <c r="AL40" s="1"/>
      <c r="AM40" s="1"/>
      <c r="AN40" s="1"/>
      <c r="AO40" s="2"/>
    </row>
    <row r="41" spans="1:41" ht="19.5" customHeight="1" x14ac:dyDescent="0.25">
      <c r="A41" s="1"/>
      <c r="B41" s="1"/>
      <c r="C41" s="1"/>
      <c r="D41" s="1"/>
      <c r="E41" s="2"/>
      <c r="F41" s="1"/>
      <c r="G41" s="1"/>
      <c r="H41" s="1"/>
      <c r="I41" s="1"/>
      <c r="J41" s="1"/>
      <c r="K41" s="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1"/>
      <c r="AF41" s="53">
        <f t="shared" si="5"/>
        <v>33000</v>
      </c>
      <c r="AG41" s="53">
        <f t="shared" si="6"/>
        <v>300000</v>
      </c>
      <c r="AH41" s="53">
        <f t="shared" si="1"/>
        <v>821122.5</v>
      </c>
      <c r="AI41" s="53">
        <f t="shared" si="2"/>
        <v>1121122.5</v>
      </c>
      <c r="AJ41" s="53">
        <f t="shared" si="3"/>
        <v>1221000</v>
      </c>
      <c r="AK41" s="53">
        <f t="shared" si="4"/>
        <v>99877.5</v>
      </c>
      <c r="AL41" s="1"/>
      <c r="AM41" s="1"/>
      <c r="AN41" s="1"/>
      <c r="AO41" s="2"/>
    </row>
    <row r="42" spans="1:41" ht="19.5" customHeight="1" x14ac:dyDescent="0.25">
      <c r="A42" s="1"/>
      <c r="B42" s="1"/>
      <c r="C42" s="1"/>
      <c r="D42" s="1"/>
      <c r="E42" s="2"/>
      <c r="F42" s="1"/>
      <c r="G42" s="1"/>
      <c r="H42" s="1"/>
      <c r="I42" s="1"/>
      <c r="J42" s="1"/>
      <c r="K42" s="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1"/>
      <c r="AF42" s="54">
        <f t="shared" si="5"/>
        <v>34500</v>
      </c>
      <c r="AG42" s="54">
        <f t="shared" si="6"/>
        <v>300000</v>
      </c>
      <c r="AH42" s="54">
        <f t="shared" si="1"/>
        <v>858446.25</v>
      </c>
      <c r="AI42" s="54">
        <f t="shared" si="2"/>
        <v>1158446.25</v>
      </c>
      <c r="AJ42" s="54">
        <f t="shared" si="3"/>
        <v>1276500</v>
      </c>
      <c r="AK42" s="54">
        <f t="shared" si="4"/>
        <v>118053.75</v>
      </c>
      <c r="AL42" s="1"/>
      <c r="AM42" s="1"/>
      <c r="AN42" s="1"/>
      <c r="AO42" s="2"/>
    </row>
    <row r="43" spans="1:41" ht="19.5" customHeight="1" x14ac:dyDescent="0.25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"/>
      <c r="AF43" s="53">
        <f t="shared" si="5"/>
        <v>36000</v>
      </c>
      <c r="AG43" s="53">
        <f t="shared" si="6"/>
        <v>300000</v>
      </c>
      <c r="AH43" s="53">
        <f t="shared" si="1"/>
        <v>895770</v>
      </c>
      <c r="AI43" s="53">
        <f t="shared" si="2"/>
        <v>1195770</v>
      </c>
      <c r="AJ43" s="53">
        <f t="shared" si="3"/>
        <v>1332000</v>
      </c>
      <c r="AK43" s="53">
        <f t="shared" si="4"/>
        <v>136230</v>
      </c>
      <c r="AL43" s="1"/>
      <c r="AM43" s="1"/>
      <c r="AN43" s="1"/>
      <c r="AO43" s="2"/>
    </row>
    <row r="44" spans="1:41" ht="19.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1"/>
      <c r="AF44" s="54">
        <f t="shared" si="5"/>
        <v>37500</v>
      </c>
      <c r="AG44" s="54">
        <f t="shared" si="6"/>
        <v>300000</v>
      </c>
      <c r="AH44" s="54">
        <f t="shared" si="1"/>
        <v>933093.75</v>
      </c>
      <c r="AI44" s="54">
        <f t="shared" si="2"/>
        <v>1233093.75</v>
      </c>
      <c r="AJ44" s="54">
        <f t="shared" si="3"/>
        <v>1387500</v>
      </c>
      <c r="AK44" s="54">
        <f t="shared" si="4"/>
        <v>154406.25</v>
      </c>
      <c r="AL44" s="1"/>
      <c r="AM44" s="1"/>
      <c r="AN44" s="1"/>
      <c r="AO44" s="2"/>
    </row>
    <row r="45" spans="1:41" ht="19.5" customHeight="1" x14ac:dyDescent="0.25">
      <c r="A45" s="1"/>
      <c r="B45" s="1"/>
      <c r="C45" s="1"/>
      <c r="D45" s="1"/>
      <c r="E45" s="2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1"/>
      <c r="AF45" s="53">
        <f t="shared" si="5"/>
        <v>39000</v>
      </c>
      <c r="AG45" s="53">
        <f t="shared" si="6"/>
        <v>300000</v>
      </c>
      <c r="AH45" s="53">
        <f t="shared" si="1"/>
        <v>970417.5</v>
      </c>
      <c r="AI45" s="53">
        <f t="shared" si="2"/>
        <v>1270417.5</v>
      </c>
      <c r="AJ45" s="53">
        <f t="shared" si="3"/>
        <v>1443000</v>
      </c>
      <c r="AK45" s="53">
        <f t="shared" si="4"/>
        <v>172582.5</v>
      </c>
      <c r="AL45" s="1"/>
      <c r="AM45" s="1"/>
      <c r="AN45" s="1"/>
      <c r="AO45" s="2"/>
    </row>
    <row r="46" spans="1:41" ht="19.5" customHeight="1" x14ac:dyDescent="0.25">
      <c r="A46" s="1"/>
      <c r="B46" s="1"/>
      <c r="C46" s="1"/>
      <c r="D46" s="1"/>
      <c r="E46" s="2"/>
      <c r="F46" s="1"/>
      <c r="G46" s="1"/>
      <c r="H46" s="1"/>
      <c r="I46" s="1"/>
      <c r="J46" s="1"/>
      <c r="K46" s="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1"/>
      <c r="AF46" s="54">
        <f t="shared" si="5"/>
        <v>40500</v>
      </c>
      <c r="AG46" s="54">
        <f t="shared" si="6"/>
        <v>300000</v>
      </c>
      <c r="AH46" s="54">
        <f t="shared" si="1"/>
        <v>1007741.25</v>
      </c>
      <c r="AI46" s="54">
        <f t="shared" si="2"/>
        <v>1307741.25</v>
      </c>
      <c r="AJ46" s="54">
        <f t="shared" si="3"/>
        <v>1498500</v>
      </c>
      <c r="AK46" s="54">
        <f t="shared" si="4"/>
        <v>190758.75</v>
      </c>
      <c r="AL46" s="1"/>
      <c r="AM46" s="1"/>
      <c r="AN46" s="1"/>
      <c r="AO46" s="2"/>
    </row>
    <row r="47" spans="1:41" ht="19.5" customHeight="1" x14ac:dyDescent="0.25">
      <c r="A47" s="1"/>
      <c r="B47" s="1"/>
      <c r="C47" s="1"/>
      <c r="D47" s="1"/>
      <c r="E47" s="2"/>
      <c r="F47" s="1"/>
      <c r="G47" s="1"/>
      <c r="H47" s="1"/>
      <c r="I47" s="1"/>
      <c r="J47" s="1"/>
      <c r="K47" s="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1"/>
      <c r="AF47" s="53">
        <f t="shared" si="5"/>
        <v>42000</v>
      </c>
      <c r="AG47" s="53">
        <f t="shared" si="6"/>
        <v>300000</v>
      </c>
      <c r="AH47" s="53">
        <f t="shared" si="1"/>
        <v>1045065</v>
      </c>
      <c r="AI47" s="53">
        <f t="shared" si="2"/>
        <v>1345065</v>
      </c>
      <c r="AJ47" s="53">
        <f t="shared" si="3"/>
        <v>1554000</v>
      </c>
      <c r="AK47" s="53">
        <f t="shared" si="4"/>
        <v>208935</v>
      </c>
      <c r="AL47" s="1"/>
      <c r="AM47" s="1"/>
      <c r="AN47" s="1"/>
      <c r="AO47" s="2"/>
    </row>
    <row r="48" spans="1:41" ht="19.5" customHeight="1" x14ac:dyDescent="0.25">
      <c r="A48" s="1"/>
      <c r="B48" s="1"/>
      <c r="C48" s="1"/>
      <c r="D48" s="1"/>
      <c r="E48" s="2"/>
      <c r="F48" s="1"/>
      <c r="G48" s="1"/>
      <c r="H48" s="1"/>
      <c r="I48" s="1"/>
      <c r="J48" s="1"/>
      <c r="K48" s="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13"/>
      <c r="AK48" s="2"/>
      <c r="AL48" s="2"/>
      <c r="AM48" s="2"/>
      <c r="AN48" s="2"/>
      <c r="AO48" s="2"/>
    </row>
    <row r="49" spans="1:41" ht="19.5" customHeight="1" x14ac:dyDescent="0.25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13"/>
      <c r="AK49" s="2"/>
      <c r="AL49" s="2"/>
      <c r="AM49" s="2"/>
      <c r="AN49" s="2"/>
      <c r="AO49" s="2"/>
    </row>
    <row r="50" spans="1:41" ht="19.5" customHeight="1" x14ac:dyDescent="0.25">
      <c r="A50" s="1"/>
      <c r="B50" s="2"/>
      <c r="C50" s="2"/>
      <c r="D50" s="2"/>
      <c r="E50" s="2"/>
      <c r="F50" s="2"/>
      <c r="G50" s="2"/>
      <c r="H50" s="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9.5" customHeight="1" x14ac:dyDescent="0.25">
      <c r="A51" s="1"/>
      <c r="B51" s="2"/>
      <c r="C51" s="2"/>
      <c r="D51" s="2"/>
      <c r="E51" s="2"/>
      <c r="F51" s="2"/>
      <c r="G51" s="2"/>
      <c r="H51" s="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9.5" customHeight="1" x14ac:dyDescent="0.25">
      <c r="A52" s="1"/>
      <c r="B52" s="2"/>
      <c r="C52" s="2"/>
      <c r="D52" s="2"/>
      <c r="E52" s="2"/>
      <c r="F52" s="2"/>
      <c r="G52" s="2"/>
      <c r="H52" s="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9.5" customHeight="1" x14ac:dyDescent="0.25">
      <c r="A53" s="1"/>
      <c r="B53" s="2"/>
      <c r="C53" s="2"/>
      <c r="D53" s="2"/>
      <c r="E53" s="2"/>
      <c r="F53" s="2"/>
      <c r="G53" s="2"/>
      <c r="H53" s="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9.5" customHeight="1" x14ac:dyDescent="0.25">
      <c r="A54" s="1"/>
      <c r="B54" s="2"/>
      <c r="C54" s="2"/>
      <c r="D54" s="2"/>
      <c r="E54" s="2"/>
      <c r="F54" s="2"/>
      <c r="G54" s="2"/>
      <c r="H54" s="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9.5" customHeight="1" x14ac:dyDescent="0.25">
      <c r="A55" s="1"/>
      <c r="B55" s="2"/>
      <c r="C55" s="2"/>
      <c r="D55" s="2"/>
      <c r="E55" s="2"/>
      <c r="F55" s="2"/>
      <c r="G55" s="2"/>
      <c r="H55" s="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9.5" customHeight="1" x14ac:dyDescent="0.25">
      <c r="A56" s="1"/>
      <c r="B56" s="2"/>
      <c r="C56" s="2"/>
      <c r="D56" s="2"/>
      <c r="E56" s="2"/>
      <c r="F56" s="2"/>
      <c r="G56" s="2"/>
      <c r="H56" s="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9.5" customHeight="1" x14ac:dyDescent="0.25">
      <c r="A57" s="1"/>
      <c r="B57" s="2"/>
      <c r="C57" s="2"/>
      <c r="D57" s="2"/>
      <c r="E57" s="2"/>
      <c r="F57" s="2"/>
      <c r="G57" s="2"/>
      <c r="H57" s="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9.5" customHeight="1" x14ac:dyDescent="0.25">
      <c r="A58" s="1"/>
      <c r="B58" s="2"/>
      <c r="C58" s="2"/>
      <c r="D58" s="2"/>
      <c r="E58" s="2"/>
      <c r="F58" s="2"/>
      <c r="G58" s="2"/>
      <c r="H58" s="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9.5" customHeight="1" x14ac:dyDescent="0.25">
      <c r="A59" s="1"/>
      <c r="B59" s="2"/>
      <c r="C59" s="2"/>
      <c r="D59" s="2"/>
      <c r="E59" s="2"/>
      <c r="F59" s="2"/>
      <c r="G59" s="2"/>
      <c r="H59" s="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9.5" customHeight="1" x14ac:dyDescent="0.25">
      <c r="A60" s="1"/>
      <c r="B60" s="2"/>
      <c r="C60" s="2"/>
      <c r="D60" s="2"/>
      <c r="E60" s="2"/>
      <c r="F60" s="2"/>
      <c r="G60" s="2"/>
      <c r="H60" s="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9.5" customHeight="1" x14ac:dyDescent="0.25">
      <c r="A61" s="1"/>
      <c r="B61" s="2"/>
      <c r="C61" s="2"/>
      <c r="D61" s="2"/>
      <c r="E61" s="2"/>
      <c r="F61" s="2"/>
      <c r="G61" s="2"/>
      <c r="H61" s="1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9.5" customHeight="1" x14ac:dyDescent="0.25">
      <c r="A62" s="1"/>
      <c r="B62" s="2"/>
      <c r="C62" s="2"/>
      <c r="D62" s="2"/>
      <c r="E62" s="2"/>
      <c r="F62" s="2"/>
      <c r="G62" s="2"/>
      <c r="H62" s="1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9.5" customHeight="1" x14ac:dyDescent="0.25">
      <c r="A63" s="1"/>
      <c r="B63" s="2"/>
      <c r="C63" s="2"/>
      <c r="D63" s="2"/>
      <c r="E63" s="2"/>
      <c r="F63" s="2"/>
      <c r="G63" s="2"/>
      <c r="H63" s="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9.5" customHeight="1" x14ac:dyDescent="0.25">
      <c r="A64" s="1"/>
      <c r="B64" s="2"/>
      <c r="C64" s="2"/>
      <c r="D64" s="2"/>
      <c r="E64" s="2"/>
      <c r="F64" s="2"/>
      <c r="G64" s="2"/>
      <c r="H64" s="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9.5" customHeight="1" x14ac:dyDescent="0.25">
      <c r="A65" s="1"/>
      <c r="B65" s="2"/>
      <c r="C65" s="2"/>
      <c r="D65" s="2"/>
      <c r="E65" s="2"/>
      <c r="F65" s="2"/>
      <c r="G65" s="2"/>
      <c r="H65" s="1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9.5" customHeight="1" x14ac:dyDescent="0.25">
      <c r="A66" s="1"/>
      <c r="B66" s="2"/>
      <c r="C66" s="2"/>
      <c r="D66" s="2"/>
      <c r="E66" s="2"/>
      <c r="F66" s="2"/>
      <c r="G66" s="2"/>
      <c r="H66" s="1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9.5" customHeight="1" x14ac:dyDescent="0.25">
      <c r="A67" s="1"/>
      <c r="B67" s="2"/>
      <c r="C67" s="2"/>
      <c r="D67" s="2"/>
      <c r="E67" s="2"/>
      <c r="F67" s="2"/>
      <c r="G67" s="2"/>
      <c r="H67" s="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9.5" customHeight="1" x14ac:dyDescent="0.25">
      <c r="A68" s="1"/>
      <c r="B68" s="2"/>
      <c r="C68" s="2"/>
      <c r="D68" s="2"/>
      <c r="E68" s="2"/>
      <c r="F68" s="2"/>
      <c r="G68" s="2"/>
      <c r="H68" s="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9.5" customHeight="1" x14ac:dyDescent="0.25">
      <c r="A69" s="1"/>
      <c r="B69" s="2"/>
      <c r="C69" s="2"/>
      <c r="D69" s="2"/>
      <c r="E69" s="2"/>
      <c r="F69" s="2"/>
      <c r="G69" s="2"/>
      <c r="H69" s="1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9.5" customHeight="1" x14ac:dyDescent="0.25">
      <c r="A70" s="1"/>
      <c r="B70" s="2"/>
      <c r="C70" s="2"/>
      <c r="D70" s="2"/>
      <c r="E70" s="2"/>
      <c r="F70" s="2"/>
      <c r="G70" s="2"/>
      <c r="H70" s="1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9.5" customHeight="1" x14ac:dyDescent="0.25">
      <c r="A71" s="1"/>
      <c r="B71" s="2"/>
      <c r="C71" s="2"/>
      <c r="D71" s="2"/>
      <c r="E71" s="2"/>
      <c r="F71" s="2"/>
      <c r="G71" s="2"/>
      <c r="H71" s="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9.5" customHeight="1" x14ac:dyDescent="0.25">
      <c r="A72" s="1"/>
      <c r="B72" s="2"/>
      <c r="C72" s="2"/>
      <c r="D72" s="2"/>
      <c r="E72" s="2"/>
      <c r="F72" s="2"/>
      <c r="G72" s="2"/>
      <c r="H72" s="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9.5" customHeight="1" x14ac:dyDescent="0.25">
      <c r="A73" s="1"/>
      <c r="B73" s="2"/>
      <c r="C73" s="2"/>
      <c r="D73" s="2"/>
      <c r="E73" s="2"/>
      <c r="F73" s="2"/>
      <c r="G73" s="2"/>
      <c r="H73" s="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9.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9.5" customHeight="1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9.5" customHeight="1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9.5" customHeight="1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9.5" customHeight="1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9.5" customHeight="1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9.5" customHeight="1" x14ac:dyDescent="0.2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9.5" customHeight="1" x14ac:dyDescent="0.2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9.5" customHeight="1" x14ac:dyDescent="0.2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9.5" customHeigh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9.5" customHeigh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9.5" customHeight="1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9.5" customHeigh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9.5" customHeight="1" x14ac:dyDescent="0.2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9.5" customHeight="1" x14ac:dyDescent="0.2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9.5" customHeight="1" x14ac:dyDescent="0.2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9.5" customHeight="1" x14ac:dyDescent="0.2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9.5" customHeight="1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9.5" customHeight="1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9.5" customHeight="1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9.5" customHeight="1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9.5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9.5" customHeight="1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</sheetData>
  <sheetProtection sheet="1" objects="1" scenarios="1"/>
  <mergeCells count="2">
    <mergeCell ref="AF12:AM12"/>
    <mergeCell ref="B5:G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Menu</vt:lpstr>
      <vt:lpstr>Simulação Mg de Contribuição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Valini Neto</dc:creator>
  <dc:description/>
  <cp:lastModifiedBy>Luis Valini Neto</cp:lastModifiedBy>
  <cp:revision>1</cp:revision>
  <dcterms:created xsi:type="dcterms:W3CDTF">2018-09-28T18:47:28Z</dcterms:created>
  <dcterms:modified xsi:type="dcterms:W3CDTF">2026-03-07T23:15:00Z</dcterms:modified>
  <dc:language>en-US</dc:language>
</cp:coreProperties>
</file>