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DeTrabalho"/>
  <bookViews>
    <workbookView showSheetTabs="0" xWindow="32760" yWindow="32760" windowWidth="20490" windowHeight="8130" activeTab="1"/>
  </bookViews>
  <sheets>
    <sheet name="Menu" sheetId="1" r:id="rId1"/>
    <sheet name="Simulação Mg de Contribuição" sheetId="2" r:id="rId2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<sst xmlns="http://schemas.openxmlformats.org/spreadsheetml/2006/main" count="44" uniqueCount="40">
  <si>
    <t>Simulação</t>
  </si>
  <si>
    <t>www.valini.com.br</t>
  </si>
  <si>
    <t>Células Editáveis&gt;&gt;&gt;&gt;&gt;&gt;</t>
  </si>
  <si>
    <t>Análise de Margem de Contribuição</t>
  </si>
  <si>
    <t>Incremento Unidades eixo x</t>
  </si>
  <si>
    <t>Ponto de Equilíbrio em R$</t>
  </si>
  <si>
    <t>Ponto de Equilíbrio em Unidades</t>
  </si>
  <si>
    <t>Custos e Despesas Fixas</t>
  </si>
  <si>
    <t>CDF</t>
  </si>
  <si>
    <t>Preço Unitário</t>
  </si>
  <si>
    <t>Custos Variável por Unidade</t>
  </si>
  <si>
    <t>CVU</t>
  </si>
  <si>
    <t>Quantidade Vendida</t>
  </si>
  <si>
    <t>Preço Unitário de Vendas</t>
  </si>
  <si>
    <t>PU</t>
  </si>
  <si>
    <t>Valor das vendas</t>
  </si>
  <si>
    <t>(-) Impostos sobre Vendas</t>
  </si>
  <si>
    <t xml:space="preserve">     ICMS</t>
  </si>
  <si>
    <t xml:space="preserve">     PIS</t>
  </si>
  <si>
    <t xml:space="preserve">     COFINS</t>
  </si>
  <si>
    <t>Eixo x incremento</t>
  </si>
  <si>
    <t xml:space="preserve">     ISS</t>
  </si>
  <si>
    <t xml:space="preserve">     SIMPLES</t>
  </si>
  <si>
    <t>(-) Custo Variável de Produção</t>
  </si>
  <si>
    <t>CDU</t>
  </si>
  <si>
    <t>(-) Despesas Variáveis de Vendas</t>
  </si>
  <si>
    <t xml:space="preserve">      Comissão</t>
  </si>
  <si>
    <t xml:space="preserve">      Fretes</t>
  </si>
  <si>
    <t xml:space="preserve">      Verba de Propaganda e Promoção</t>
  </si>
  <si>
    <t>(-) Custos Variáveis Totais</t>
  </si>
  <si>
    <t>un</t>
  </si>
  <si>
    <t>Margem de Contribuição</t>
  </si>
  <si>
    <t>(-) Custos fixos de produção (Incluido Depreciação)</t>
  </si>
  <si>
    <t>(-) Despesas fixas administrativas e comerciais</t>
  </si>
  <si>
    <t>Total de Despesas e Custos Fixos</t>
  </si>
  <si>
    <t>Income Before Taxes</t>
  </si>
  <si>
    <t>QT</t>
  </si>
  <si>
    <t>CUSTOS TOTAIS</t>
  </si>
  <si>
    <t>VENDAS</t>
  </si>
  <si>
    <t>LUCRO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</si>
</sst>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%"/>
    <numFmt numFmtId="165" formatCode=";;;"/>
    <numFmt numFmtId="166" formatCode="_-* #,##0_-;\-* #,##0_-;_-* &quot;-&quot;??_-;_-@_-"/>
    <numFmt numFmtId="167" formatCode="&quot;$&quot;#,##0_);\(&quot;$&quot;#,##0\)"/>
    <numFmt numFmtId="168" formatCode="&quot;R$&quot;\ #,##0.00"/>
    <numFmt numFmtId="169" formatCode="&quot;$&quot;#,##0.00_);\(&quot;$&quot;#,##0.00\)"/>
    <numFmt numFmtId="170" formatCode="&quot;$&quot;#,##0_);[Red]\(&quot;$&quot;#,##0\)"/>
    <numFmt numFmtId="171" formatCode="\$#,##0_);[Red]\(\$#,##0\)"/>
    <numFmt numFmtId="172" formatCode="&quot;R$&quot;#,##0_);[Red]\(&quot;R$&quot;#,##0\)"/>
    <numFmt numFmtId="173" formatCode="&quot;R$&quot;\ #,##0.0;[Red]\-&quot;R$&quot;\ #,##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ambria"/>
      <family val="1"/>
    </font>
    <font>
      <b/>
      <sz val="10"/>
      <name val="Cambria"/>
      <family val="1"/>
    </font>
    <font>
      <sz val="10"/>
      <name val="Courier"/>
      <family val="0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u val="single"/>
      <sz val="10"/>
      <name val="Cambria"/>
      <family val="1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9"/>
      <name val="Cambria"/>
      <family val="1"/>
    </font>
    <font>
      <b/>
      <sz val="10"/>
      <color indexed="56"/>
      <name val="Cambria"/>
      <family val="1"/>
    </font>
    <font>
      <sz val="11"/>
      <color indexed="9"/>
      <name val="Cambria"/>
      <family val="2"/>
    </font>
    <font>
      <u val="single"/>
      <sz val="16"/>
      <color indexed="9"/>
      <name val="Cambria"/>
      <family val="2"/>
    </font>
    <font>
      <b/>
      <sz val="11"/>
      <color indexed="9"/>
      <name val="Cambria"/>
      <family val="1"/>
    </font>
    <font>
      <b/>
      <sz val="40"/>
      <color indexed="9"/>
      <name val="Calibri"/>
      <family val="2"/>
    </font>
    <font>
      <sz val="14"/>
      <color indexed="63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Cambria"/>
      <family val="1"/>
    </font>
    <font>
      <b/>
      <sz val="10"/>
      <color rgb="FF002060"/>
      <name val="Cambria"/>
      <family val="1"/>
    </font>
    <font>
      <sz val="11"/>
      <color theme="0"/>
      <name val="Cambria"/>
      <family val="2"/>
    </font>
    <font>
      <u val="single"/>
      <sz val="16"/>
      <color theme="0"/>
      <name val="Cambria"/>
      <family val="2"/>
    </font>
    <font>
      <b/>
      <sz val="11"/>
      <color theme="0"/>
      <name val="Cambria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01F3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206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4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2" fillId="32" borderId="0" applyNumberFormat="0" applyBorder="0" applyAlignment="0" applyProtection="0"/>
    <xf numFmtId="0" fontId="43" fillId="21" borderId="5" applyNumberFormat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2" fillId="0" borderId="0" xfId="0" applyFont="1" applyAlignment="1" applyProtection="1">
      <alignment/>
      <protection hidden="1"/>
    </xf>
    <xf numFmtId="164" fontId="2" fillId="0" borderId="0" xfId="51" applyNumberFormat="1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2" fillId="34" borderId="0" xfId="0" applyFont="1" applyFill="1" applyAlignment="1" applyProtection="1">
      <alignment/>
      <protection locked="0"/>
    </xf>
    <xf numFmtId="0" fontId="2" fillId="0" borderId="0" xfId="49" applyFont="1" applyProtection="1">
      <alignment/>
      <protection hidden="1"/>
    </xf>
    <xf numFmtId="165" fontId="2" fillId="0" borderId="0" xfId="49" applyNumberFormat="1" applyFont="1" applyProtection="1">
      <alignment/>
      <protection hidden="1"/>
    </xf>
    <xf numFmtId="0" fontId="51" fillId="0" borderId="0" xfId="49" applyFont="1" applyProtection="1">
      <alignment/>
      <protection hidden="1"/>
    </xf>
    <xf numFmtId="0" fontId="2" fillId="0" borderId="0" xfId="0" applyFont="1" applyAlignment="1" applyProtection="1">
      <alignment horizontal="centerContinuous"/>
      <protection hidden="1"/>
    </xf>
    <xf numFmtId="0" fontId="2" fillId="35" borderId="0" xfId="0" applyFont="1" applyFill="1" applyAlignment="1" applyProtection="1">
      <alignment vertical="top" wrapText="1"/>
      <protection hidden="1"/>
    </xf>
    <xf numFmtId="0" fontId="3" fillId="0" borderId="0" xfId="49" applyFont="1" applyAlignment="1" applyProtection="1">
      <alignment horizontal="left"/>
      <protection hidden="1"/>
    </xf>
    <xf numFmtId="6" fontId="3" fillId="18" borderId="0" xfId="49" applyNumberFormat="1" applyFont="1" applyFill="1" applyAlignment="1" applyProtection="1">
      <alignment horizontal="center"/>
      <protection hidden="1"/>
    </xf>
    <xf numFmtId="37" fontId="3" fillId="18" borderId="0" xfId="49" applyNumberFormat="1" applyFont="1" applyFill="1" applyAlignment="1" applyProtection="1">
      <alignment horizontal="center"/>
      <protection hidden="1"/>
    </xf>
    <xf numFmtId="167" fontId="2" fillId="0" borderId="0" xfId="49" applyNumberFormat="1" applyFont="1" applyProtection="1">
      <alignment/>
      <protection hidden="1"/>
    </xf>
    <xf numFmtId="168" fontId="52" fillId="34" borderId="0" xfId="0" applyNumberFormat="1" applyFont="1" applyFill="1" applyAlignment="1" applyProtection="1">
      <alignment/>
      <protection hidden="1" locked="0"/>
    </xf>
    <xf numFmtId="0" fontId="2" fillId="35" borderId="0" xfId="0" applyFont="1" applyFill="1" applyAlignment="1" applyProtection="1">
      <alignment/>
      <protection hidden="1"/>
    </xf>
    <xf numFmtId="166" fontId="52" fillId="34" borderId="0" xfId="63" applyNumberFormat="1" applyFont="1" applyFill="1" applyAlignment="1" applyProtection="1">
      <alignment/>
      <protection hidden="1" locked="0"/>
    </xf>
    <xf numFmtId="0" fontId="3" fillId="36" borderId="0" xfId="0" applyFont="1" applyFill="1" applyAlignment="1" applyProtection="1">
      <alignment/>
      <protection hidden="1"/>
    </xf>
    <xf numFmtId="170" fontId="3" fillId="36" borderId="0" xfId="0" applyNumberFormat="1" applyFont="1" applyFill="1" applyAlignment="1" applyProtection="1">
      <alignment/>
      <protection hidden="1"/>
    </xf>
    <xf numFmtId="164" fontId="3" fillId="36" borderId="0" xfId="51" applyNumberFormat="1" applyFont="1" applyFill="1" applyAlignment="1" applyProtection="1">
      <alignment/>
      <protection hidden="1"/>
    </xf>
    <xf numFmtId="0" fontId="3" fillId="37" borderId="0" xfId="0" applyFont="1" applyFill="1" applyAlignment="1" applyProtection="1">
      <alignment/>
      <protection hidden="1"/>
    </xf>
    <xf numFmtId="164" fontId="3" fillId="37" borderId="0" xfId="51" applyNumberFormat="1" applyFont="1" applyFill="1" applyAlignment="1" applyProtection="1">
      <alignment/>
      <protection hidden="1"/>
    </xf>
    <xf numFmtId="6" fontId="3" fillId="37" borderId="0" xfId="0" applyNumberFormat="1" applyFont="1" applyFill="1" applyAlignment="1" applyProtection="1">
      <alignment/>
      <protection hidden="1" locked="0"/>
    </xf>
    <xf numFmtId="164" fontId="52" fillId="34" borderId="0" xfId="51" applyNumberFormat="1" applyFont="1" applyFill="1" applyAlignment="1" applyProtection="1">
      <alignment/>
      <protection hidden="1" locked="0"/>
    </xf>
    <xf numFmtId="6" fontId="2" fillId="0" borderId="0" xfId="0" applyNumberFormat="1" applyFont="1" applyAlignment="1" applyProtection="1">
      <alignment/>
      <protection hidden="1" locked="0"/>
    </xf>
    <xf numFmtId="164" fontId="2" fillId="0" borderId="0" xfId="51" applyNumberFormat="1" applyFont="1" applyFill="1" applyAlignment="1" applyProtection="1">
      <alignment/>
      <protection hidden="1"/>
    </xf>
    <xf numFmtId="0" fontId="2" fillId="0" borderId="0" xfId="49" applyFont="1" applyAlignment="1" applyProtection="1">
      <alignment horizontal="centerContinuous"/>
      <protection hidden="1"/>
    </xf>
    <xf numFmtId="164" fontId="3" fillId="35" borderId="0" xfId="51" applyNumberFormat="1" applyFont="1" applyFill="1" applyAlignment="1" applyProtection="1">
      <alignment/>
      <protection hidden="1"/>
    </xf>
    <xf numFmtId="6" fontId="2" fillId="35" borderId="0" xfId="0" applyNumberFormat="1" applyFont="1" applyFill="1" applyAlignment="1" applyProtection="1">
      <alignment/>
      <protection hidden="1" locked="0"/>
    </xf>
    <xf numFmtId="164" fontId="2" fillId="35" borderId="0" xfId="51" applyNumberFormat="1" applyFont="1" applyFill="1" applyAlignment="1" applyProtection="1">
      <alignment/>
      <protection hidden="1"/>
    </xf>
    <xf numFmtId="8" fontId="3" fillId="37" borderId="0" xfId="63" applyNumberFormat="1" applyFont="1" applyFill="1" applyAlignment="1" applyProtection="1">
      <alignment/>
      <protection hidden="1" locked="0"/>
    </xf>
    <xf numFmtId="6" fontId="3" fillId="35" borderId="0" xfId="0" applyNumberFormat="1" applyFont="1" applyFill="1" applyAlignment="1" applyProtection="1">
      <alignment/>
      <protection hidden="1" locked="0"/>
    </xf>
    <xf numFmtId="10" fontId="3" fillId="35" borderId="0" xfId="51" applyNumberFormat="1" applyFont="1" applyFill="1" applyAlignment="1" applyProtection="1">
      <alignment/>
      <protection hidden="1"/>
    </xf>
    <xf numFmtId="6" fontId="52" fillId="34" borderId="0" xfId="0" applyNumberFormat="1" applyFont="1" applyFill="1" applyBorder="1" applyAlignment="1" applyProtection="1">
      <alignment/>
      <protection hidden="1" locked="0"/>
    </xf>
    <xf numFmtId="6" fontId="52" fillId="34" borderId="10" xfId="0" applyNumberFormat="1" applyFont="1" applyFill="1" applyBorder="1" applyAlignment="1" applyProtection="1">
      <alignment/>
      <protection hidden="1" locked="0"/>
    </xf>
    <xf numFmtId="0" fontId="2" fillId="35" borderId="0" xfId="49" applyFont="1" applyFill="1" applyProtection="1">
      <alignment/>
      <protection hidden="1"/>
    </xf>
    <xf numFmtId="165" fontId="2" fillId="0" borderId="0" xfId="0" applyNumberFormat="1" applyFont="1" applyAlignment="1" applyProtection="1">
      <alignment/>
      <protection hidden="1"/>
    </xf>
    <xf numFmtId="166" fontId="3" fillId="34" borderId="0" xfId="63" applyNumberFormat="1" applyFont="1" applyFill="1" applyBorder="1" applyAlignment="1" applyProtection="1">
      <alignment/>
      <protection locked="0"/>
    </xf>
    <xf numFmtId="0" fontId="2" fillId="0" borderId="0" xfId="49" applyFont="1" applyAlignment="1" applyProtection="1">
      <alignment horizontal="right"/>
      <protection hidden="1"/>
    </xf>
    <xf numFmtId="165" fontId="2" fillId="0" borderId="0" xfId="49" applyNumberFormat="1" applyFont="1" applyAlignment="1" applyProtection="1">
      <alignment horizontal="left"/>
      <protection hidden="1"/>
    </xf>
    <xf numFmtId="164" fontId="3" fillId="34" borderId="0" xfId="51" applyNumberFormat="1" applyFont="1" applyFill="1" applyAlignment="1" applyProtection="1">
      <alignment/>
      <protection hidden="1" locked="0"/>
    </xf>
    <xf numFmtId="165" fontId="2" fillId="38" borderId="0" xfId="49" applyNumberFormat="1" applyFont="1" applyFill="1" applyProtection="1">
      <alignment/>
      <protection hidden="1"/>
    </xf>
    <xf numFmtId="0" fontId="2" fillId="38" borderId="0" xfId="49" applyFont="1" applyFill="1" applyAlignment="1" applyProtection="1">
      <alignment horizontal="right"/>
      <protection hidden="1"/>
    </xf>
    <xf numFmtId="8" fontId="3" fillId="18" borderId="0" xfId="49" applyNumberFormat="1" applyFont="1" applyFill="1" applyAlignment="1" applyProtection="1">
      <alignment horizontal="center"/>
      <protection hidden="1"/>
    </xf>
    <xf numFmtId="0" fontId="51" fillId="38" borderId="0" xfId="49" applyNumberFormat="1" applyFont="1" applyFill="1" applyAlignment="1" applyProtection="1">
      <alignment horizontal="right"/>
      <protection hidden="1"/>
    </xf>
    <xf numFmtId="0" fontId="51" fillId="38" borderId="0" xfId="51" applyNumberFormat="1" applyFont="1" applyFill="1" applyAlignment="1" applyProtection="1">
      <alignment horizontal="right"/>
      <protection hidden="1"/>
    </xf>
    <xf numFmtId="0" fontId="51" fillId="38" borderId="0" xfId="63" applyNumberFormat="1" applyFont="1" applyFill="1" applyAlignment="1" applyProtection="1">
      <alignment/>
      <protection hidden="1"/>
    </xf>
    <xf numFmtId="0" fontId="51" fillId="38" borderId="0" xfId="49" applyNumberFormat="1" applyFont="1" applyFill="1" applyProtection="1">
      <alignment/>
      <protection hidden="1"/>
    </xf>
    <xf numFmtId="0" fontId="51" fillId="38" borderId="0" xfId="51" applyNumberFormat="1" applyFont="1" applyFill="1" applyAlignment="1" applyProtection="1">
      <alignment/>
      <protection hidden="1"/>
    </xf>
    <xf numFmtId="0" fontId="53" fillId="33" borderId="0" xfId="0" applyFont="1" applyFill="1" applyAlignment="1">
      <alignment horizontal="center"/>
    </xf>
    <xf numFmtId="0" fontId="54" fillId="33" borderId="0" xfId="44" applyFont="1" applyFill="1" applyAlignment="1" applyProtection="1">
      <alignment horizontal="center"/>
      <protection/>
    </xf>
    <xf numFmtId="22" fontId="55" fillId="33" borderId="0" xfId="0" applyNumberFormat="1" applyFont="1" applyFill="1" applyAlignment="1">
      <alignment horizontal="center"/>
    </xf>
    <xf numFmtId="0" fontId="55" fillId="33" borderId="0" xfId="0" applyFont="1" applyFill="1" applyAlignment="1">
      <alignment horizontal="center"/>
    </xf>
    <xf numFmtId="0" fontId="7" fillId="0" borderId="0" xfId="44" applyFont="1" applyAlignment="1" applyProtection="1">
      <alignment horizontal="center"/>
      <protection hidden="1"/>
    </xf>
    <xf numFmtId="0" fontId="3" fillId="39" borderId="0" xfId="0" applyFont="1" applyFill="1" applyAlignment="1" applyProtection="1">
      <alignment horizontal="center"/>
      <protection hidden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_besimple" xfId="49"/>
    <cellStyle name="Nota" xfId="50"/>
    <cellStyle name="Percent" xfId="51"/>
    <cellStyle name="Ruim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Análise de Ponto de Equilíbrio</a:t>
            </a:r>
          </a:p>
        </c:rich>
      </c:tx>
      <c:layout>
        <c:manualLayout>
          <c:xMode val="factor"/>
          <c:yMode val="factor"/>
          <c:x val="-0.00125"/>
          <c:y val="-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25"/>
          <c:y val="0.10475"/>
          <c:w val="0.982"/>
          <c:h val="0.79725"/>
        </c:manualLayout>
      </c:layout>
      <c:lineChart>
        <c:grouping val="standard"/>
        <c:varyColors val="0"/>
        <c:ser>
          <c:idx val="0"/>
          <c:order val="0"/>
          <c:tx>
            <c:strRef>
              <c:f>'Simulação Mg de Contribuição'!$AH$18</c:f>
              <c:strCache>
                <c:ptCount val="1"/>
                <c:pt idx="0">
                  <c:v>CDF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'Simulação Mg de Contribuição'!$AG$19:$AG$47</c:f>
              <c:numCache/>
            </c:numRef>
          </c:cat>
          <c:val>
            <c:numRef>
              <c:f>'Simulação Mg de Contribuição'!$AH$19:$AH$47</c:f>
              <c:numCache/>
            </c:numRef>
          </c:val>
          <c:smooth val="0"/>
        </c:ser>
        <c:ser>
          <c:idx val="1"/>
          <c:order val="1"/>
          <c:tx>
            <c:strRef>
              <c:f>'Simulação Mg de Contribuição'!$AI$18</c:f>
              <c:strCache>
                <c:ptCount val="1"/>
                <c:pt idx="0">
                  <c:v>CDU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'Simulação Mg de Contribuição'!$AG$19:$AG$47</c:f>
              <c:numCache/>
            </c:numRef>
          </c:cat>
          <c:val>
            <c:numRef>
              <c:f>'Simulação Mg de Contribuição'!$AI$19:$AI$47</c:f>
              <c:numCache/>
            </c:numRef>
          </c:val>
          <c:smooth val="0"/>
        </c:ser>
        <c:ser>
          <c:idx val="2"/>
          <c:order val="2"/>
          <c:tx>
            <c:strRef>
              <c:f>'Simulação Mg de Contribuição'!$AJ$18</c:f>
              <c:strCache>
                <c:ptCount val="1"/>
                <c:pt idx="0">
                  <c:v>CUSTOS TOTAIS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'Simulação Mg de Contribuição'!$AG$19:$AG$47</c:f>
              <c:numCache/>
            </c:numRef>
          </c:cat>
          <c:val>
            <c:numRef>
              <c:f>'Simulação Mg de Contribuição'!$AJ$19:$AJ$47</c:f>
              <c:numCache/>
            </c:numRef>
          </c:val>
          <c:smooth val="0"/>
        </c:ser>
        <c:ser>
          <c:idx val="3"/>
          <c:order val="3"/>
          <c:tx>
            <c:strRef>
              <c:f>'Simulação Mg de Contribuição'!$AK$18</c:f>
              <c:strCache>
                <c:ptCount val="1"/>
                <c:pt idx="0">
                  <c:v>VENDAS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'Simulação Mg de Contribuição'!$AG$19:$AG$47</c:f>
              <c:numCache/>
            </c:numRef>
          </c:cat>
          <c:val>
            <c:numRef>
              <c:f>'Simulação Mg de Contribuição'!$AK$19:$AK$47</c:f>
              <c:numCache/>
            </c:numRef>
          </c:val>
          <c:smooth val="0"/>
        </c:ser>
        <c:ser>
          <c:idx val="4"/>
          <c:order val="4"/>
          <c:tx>
            <c:strRef>
              <c:f>'Simulação Mg de Contribuição'!$AL$18</c:f>
              <c:strCache>
                <c:ptCount val="1"/>
                <c:pt idx="0">
                  <c:v>LUCRO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'Simulação Mg de Contribuição'!$AG$19:$AG$47</c:f>
              <c:numCache/>
            </c:numRef>
          </c:cat>
          <c:val>
            <c:numRef>
              <c:f>'Simulação Mg de Contribuição'!$AL$19:$AL$47</c:f>
              <c:numCache/>
            </c:numRef>
          </c:val>
          <c:smooth val="0"/>
        </c:ser>
        <c:marker val="1"/>
        <c:axId val="15427820"/>
        <c:axId val="4632653"/>
      </c:lineChart>
      <c:catAx>
        <c:axId val="1542782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632653"/>
        <c:crosses val="autoZero"/>
        <c:auto val="1"/>
        <c:lblOffset val="100"/>
        <c:tickLblSkip val="1"/>
        <c:noMultiLvlLbl val="0"/>
      </c:catAx>
      <c:valAx>
        <c:axId val="463265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542782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925"/>
          <c:y val="0.91525"/>
          <c:w val="0.539"/>
          <c:h val="0.06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noFill/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s://www.valini.com.br/" TargetMode="External" /><Relationship Id="rId3" Type="http://schemas.openxmlformats.org/officeDocument/2006/relationships/hyperlink" Target="https://www.valini.com.br/" TargetMode="External" /><Relationship Id="rId4" Type="http://schemas.openxmlformats.org/officeDocument/2006/relationships/image" Target="../media/image2.png" /><Relationship Id="rId5" Type="http://schemas.openxmlformats.org/officeDocument/2006/relationships/hyperlink" Target="#'Simula&#231;&#227;o Mg de Contribui&#231;&#227;o'!A1" /><Relationship Id="rId6" Type="http://schemas.openxmlformats.org/officeDocument/2006/relationships/hyperlink" Target="#'Simula&#231;&#227;o Mg de Contribui&#231;&#227;o'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hyperlink" Target="#Menu!A1" /><Relationship Id="rId3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590550</xdr:colOff>
      <xdr:row>4</xdr:row>
      <xdr:rowOff>180975</xdr:rowOff>
    </xdr:to>
    <xdr:pic>
      <xdr:nvPicPr>
        <xdr:cNvPr id="1" name="Imagem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193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600075</xdr:colOff>
      <xdr:row>5</xdr:row>
      <xdr:rowOff>171450</xdr:rowOff>
    </xdr:from>
    <xdr:ext cx="8048625" cy="714375"/>
    <xdr:sp>
      <xdr:nvSpPr>
        <xdr:cNvPr id="2" name="Retângulo 2"/>
        <xdr:cNvSpPr>
          <a:spLocks/>
        </xdr:cNvSpPr>
      </xdr:nvSpPr>
      <xdr:spPr>
        <a:xfrm>
          <a:off x="2428875" y="1123950"/>
          <a:ext cx="80486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4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Análise de Margem de Contribuição</a:t>
          </a:r>
        </a:p>
      </xdr:txBody>
    </xdr:sp>
    <xdr:clientData/>
  </xdr:oneCellAnchor>
  <xdr:twoCellAnchor editAs="oneCell">
    <xdr:from>
      <xdr:col>9</xdr:col>
      <xdr:colOff>161925</xdr:colOff>
      <xdr:row>12</xdr:row>
      <xdr:rowOff>66675</xdr:rowOff>
    </xdr:from>
    <xdr:to>
      <xdr:col>10</xdr:col>
      <xdr:colOff>466725</xdr:colOff>
      <xdr:row>17</xdr:row>
      <xdr:rowOff>28575</xdr:rowOff>
    </xdr:to>
    <xdr:pic>
      <xdr:nvPicPr>
        <xdr:cNvPr id="3" name="Gráfico 5" descr="Lápis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648325" y="2352675"/>
          <a:ext cx="9144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552450</xdr:colOff>
      <xdr:row>3</xdr:row>
      <xdr:rowOff>123825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171450</xdr:colOff>
      <xdr:row>0</xdr:row>
      <xdr:rowOff>85725</xdr:rowOff>
    </xdr:from>
    <xdr:to>
      <xdr:col>5</xdr:col>
      <xdr:colOff>600075</xdr:colOff>
      <xdr:row>3</xdr:row>
      <xdr:rowOff>66675</xdr:rowOff>
    </xdr:to>
    <xdr:sp>
      <xdr:nvSpPr>
        <xdr:cNvPr id="2" name="Seta: para a Esquerda 3">
          <a:hlinkClick r:id="rId2"/>
        </xdr:cNvPr>
        <xdr:cNvSpPr>
          <a:spLocks/>
        </xdr:cNvSpPr>
      </xdr:nvSpPr>
      <xdr:spPr>
        <a:xfrm>
          <a:off x="2676525" y="85725"/>
          <a:ext cx="962025" cy="466725"/>
        </a:xfrm>
        <a:prstGeom prst="leftArrow">
          <a:avLst>
            <a:gd name="adj" fmla="val -25986"/>
          </a:avLst>
        </a:prstGeom>
        <a:solidFill>
          <a:srgbClr val="00206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38100</xdr:colOff>
      <xdr:row>9</xdr:row>
      <xdr:rowOff>85725</xdr:rowOff>
    </xdr:from>
    <xdr:to>
      <xdr:col>19</xdr:col>
      <xdr:colOff>342900</xdr:colOff>
      <xdr:row>29</xdr:row>
      <xdr:rowOff>38100</xdr:rowOff>
    </xdr:to>
    <xdr:graphicFrame>
      <xdr:nvGraphicFramePr>
        <xdr:cNvPr id="3" name="Gráfico 1"/>
        <xdr:cNvGraphicFramePr/>
      </xdr:nvGraphicFramePr>
      <xdr:xfrm>
        <a:off x="6381750" y="1543050"/>
        <a:ext cx="7496175" cy="3190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alini.com.br/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ilha1"/>
  <dimension ref="B19:K26"/>
  <sheetViews>
    <sheetView showRowColHeaders="0"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6384" width="9.140625" style="1" customWidth="1"/>
  </cols>
  <sheetData>
    <row r="19" spans="10:11" ht="15">
      <c r="J19" s="50" t="s">
        <v>0</v>
      </c>
      <c r="K19" s="50"/>
    </row>
    <row r="25" spans="2:4" ht="20.25">
      <c r="B25" s="51" t="s">
        <v>1</v>
      </c>
      <c r="C25" s="51"/>
      <c r="D25" s="51"/>
    </row>
    <row r="26" spans="2:4" ht="15">
      <c r="B26" s="52">
        <f ca="1">NOW()</f>
        <v>43375.748798726854</v>
      </c>
      <c r="C26" s="53"/>
      <c r="D26" s="53"/>
    </row>
  </sheetData>
  <sheetProtection sheet="1" scenarios="1"/>
  <mergeCells count="3">
    <mergeCell ref="J19:K19"/>
    <mergeCell ref="B25:D25"/>
    <mergeCell ref="B26:D26"/>
  </mergeCells>
  <hyperlinks>
    <hyperlink ref="B25" r:id="rId1" display="www.valini.com.br"/>
  </hyperlinks>
  <printOptions/>
  <pageMargins left="0.511811024" right="0.511811024" top="0.787401575" bottom="0.787401575" header="0.31496062" footer="0.31496062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ilha2"/>
  <dimension ref="A1:AP96"/>
  <sheetViews>
    <sheetView showGridLines="0" showRowColHeaders="0" tabSelected="1" zoomScale="90" zoomScaleNormal="90" zoomScalePageLayoutView="0" workbookViewId="0" topLeftCell="A1">
      <selection activeCell="F9" sqref="F9"/>
    </sheetView>
  </sheetViews>
  <sheetFormatPr defaultColWidth="9.140625" defaultRowHeight="15"/>
  <cols>
    <col min="1" max="1" width="1.7109375" style="2" customWidth="1"/>
    <col min="2" max="2" width="6.8515625" style="2" customWidth="1"/>
    <col min="3" max="3" width="16.57421875" style="2" customWidth="1"/>
    <col min="4" max="4" width="12.421875" style="2" customWidth="1"/>
    <col min="5" max="5" width="8.00390625" style="2" bestFit="1" customWidth="1"/>
    <col min="6" max="6" width="15.7109375" style="2" customWidth="1"/>
    <col min="7" max="7" width="10.421875" style="3" customWidth="1"/>
    <col min="8" max="8" width="11.421875" style="2" customWidth="1"/>
    <col min="9" max="9" width="12.00390625" style="2" customWidth="1"/>
    <col min="10" max="10" width="14.7109375" style="2" customWidth="1"/>
    <col min="11" max="11" width="9.57421875" style="2" bestFit="1" customWidth="1"/>
    <col min="12" max="12" width="9.140625" style="2" customWidth="1"/>
    <col min="13" max="13" width="11.7109375" style="2" bestFit="1" customWidth="1"/>
    <col min="14" max="14" width="9.140625" style="2" customWidth="1"/>
    <col min="15" max="15" width="14.421875" style="2" customWidth="1"/>
    <col min="16" max="18" width="9.140625" style="2" customWidth="1"/>
    <col min="19" max="19" width="11.7109375" style="2" bestFit="1" customWidth="1"/>
    <col min="20" max="32" width="9.140625" style="2" customWidth="1"/>
    <col min="33" max="33" width="16.421875" style="2" bestFit="1" customWidth="1"/>
    <col min="34" max="34" width="11.28125" style="2" bestFit="1" customWidth="1"/>
    <col min="35" max="35" width="12.00390625" style="2" bestFit="1" customWidth="1"/>
    <col min="36" max="36" width="14.8515625" style="2" customWidth="1"/>
    <col min="37" max="38" width="12.00390625" style="2" bestFit="1" customWidth="1"/>
    <col min="39" max="39" width="11.28125" style="37" bestFit="1" customWidth="1"/>
    <col min="40" max="16384" width="9.140625" style="2" customWidth="1"/>
  </cols>
  <sheetData>
    <row r="1" spans="9:42" ht="12.75">
      <c r="I1" s="4" t="s">
        <v>2</v>
      </c>
      <c r="K1" s="5"/>
      <c r="AF1" s="6"/>
      <c r="AG1" s="6"/>
      <c r="AH1" s="6"/>
      <c r="AI1" s="6"/>
      <c r="AJ1" s="6"/>
      <c r="AK1" s="3"/>
      <c r="AL1" s="6"/>
      <c r="AM1" s="7"/>
      <c r="AN1" s="6"/>
      <c r="AO1" s="6"/>
      <c r="AP1" s="6"/>
    </row>
    <row r="2" spans="32:42" ht="12.75">
      <c r="AF2" s="6"/>
      <c r="AG2" s="6"/>
      <c r="AH2" s="6"/>
      <c r="AI2" s="6"/>
      <c r="AJ2" s="6"/>
      <c r="AK2" s="3"/>
      <c r="AL2" s="6"/>
      <c r="AM2" s="7"/>
      <c r="AN2" s="6"/>
      <c r="AO2" s="6"/>
      <c r="AP2" s="6"/>
    </row>
    <row r="3" spans="32:42" ht="12.75">
      <c r="AF3" s="6"/>
      <c r="AG3" s="6"/>
      <c r="AH3" s="6"/>
      <c r="AI3" s="6"/>
      <c r="AJ3" s="6"/>
      <c r="AK3" s="3"/>
      <c r="AL3" s="6"/>
      <c r="AM3" s="7"/>
      <c r="AN3" s="6"/>
      <c r="AO3" s="6"/>
      <c r="AP3" s="6"/>
    </row>
    <row r="4" spans="10:42" ht="12.75">
      <c r="J4" s="11" t="s">
        <v>4</v>
      </c>
      <c r="M4" s="38">
        <v>1500</v>
      </c>
      <c r="AF4" s="6"/>
      <c r="AG4" s="6"/>
      <c r="AH4" s="6"/>
      <c r="AI4" s="6"/>
      <c r="AJ4" s="6"/>
      <c r="AK4" s="3"/>
      <c r="AL4" s="6"/>
      <c r="AM4" s="7"/>
      <c r="AN4" s="6"/>
      <c r="AO4" s="6"/>
      <c r="AP4" s="6"/>
    </row>
    <row r="5" spans="2:42" ht="12.75">
      <c r="B5" s="55" t="s">
        <v>3</v>
      </c>
      <c r="C5" s="55"/>
      <c r="D5" s="55"/>
      <c r="E5" s="55"/>
      <c r="F5" s="55"/>
      <c r="G5" s="55"/>
      <c r="H5" s="55"/>
      <c r="I5" s="9"/>
      <c r="O5" s="6" t="s">
        <v>7</v>
      </c>
      <c r="Q5" s="39" t="s">
        <v>8</v>
      </c>
      <c r="R5" s="39"/>
      <c r="S5" s="12">
        <f>-F28</f>
        <v>300000</v>
      </c>
      <c r="AF5" s="6"/>
      <c r="AK5" s="3"/>
      <c r="AP5" s="6"/>
    </row>
    <row r="6" spans="2:42" ht="12.75">
      <c r="B6" s="10"/>
      <c r="C6" s="10"/>
      <c r="D6" s="10"/>
      <c r="E6" s="10"/>
      <c r="F6" s="10"/>
      <c r="G6" s="10"/>
      <c r="H6" s="10"/>
      <c r="I6" s="10"/>
      <c r="J6" s="11" t="s">
        <v>6</v>
      </c>
      <c r="M6" s="13">
        <f>((S5/(S7-S6)))</f>
        <v>24757.58200949041</v>
      </c>
      <c r="O6" s="6" t="s">
        <v>10</v>
      </c>
      <c r="Q6" s="39" t="s">
        <v>11</v>
      </c>
      <c r="R6" s="39"/>
      <c r="S6" s="44">
        <f>+H23</f>
        <v>24.8825</v>
      </c>
      <c r="AF6" s="6"/>
      <c r="AG6" s="6"/>
      <c r="AH6" s="6"/>
      <c r="AI6" s="6"/>
      <c r="AJ6" s="6"/>
      <c r="AK6" s="3"/>
      <c r="AL6" s="6"/>
      <c r="AM6" s="7"/>
      <c r="AN6" s="6"/>
      <c r="AO6" s="6"/>
      <c r="AP6" s="6"/>
    </row>
    <row r="7" spans="10:42" ht="12.75">
      <c r="J7" s="11" t="s">
        <v>5</v>
      </c>
      <c r="M7" s="12">
        <f>(M6*S7)</f>
        <v>916030.5343511452</v>
      </c>
      <c r="O7" s="6" t="s">
        <v>13</v>
      </c>
      <c r="Q7" s="39" t="s">
        <v>14</v>
      </c>
      <c r="R7" s="39"/>
      <c r="S7" s="44">
        <f>+F8</f>
        <v>37</v>
      </c>
      <c r="AK7" s="3"/>
      <c r="AL7" s="14"/>
      <c r="AM7" s="7"/>
      <c r="AN7" s="6"/>
      <c r="AO7" s="14"/>
      <c r="AP7" s="6"/>
    </row>
    <row r="8" spans="2:42" ht="12.75">
      <c r="B8" s="2" t="s">
        <v>9</v>
      </c>
      <c r="F8" s="15">
        <v>37</v>
      </c>
      <c r="I8" s="16"/>
      <c r="AK8" s="3"/>
      <c r="AL8" s="14"/>
      <c r="AM8" s="40"/>
      <c r="AN8" s="6"/>
      <c r="AO8" s="14"/>
      <c r="AP8" s="6"/>
    </row>
    <row r="9" spans="2:42" ht="12.75">
      <c r="B9" s="2" t="s">
        <v>12</v>
      </c>
      <c r="F9" s="17">
        <v>30000</v>
      </c>
      <c r="I9" s="16"/>
      <c r="AK9" s="3"/>
      <c r="AL9" s="14"/>
      <c r="AM9" s="40"/>
      <c r="AN9" s="6"/>
      <c r="AO9" s="14"/>
      <c r="AP9" s="6"/>
    </row>
    <row r="10" spans="2:42" ht="12.75">
      <c r="B10" s="18" t="s">
        <v>15</v>
      </c>
      <c r="C10" s="18"/>
      <c r="D10" s="18"/>
      <c r="E10" s="18"/>
      <c r="F10" s="19">
        <f>+F8*F9</f>
        <v>1110000</v>
      </c>
      <c r="G10" s="20">
        <f>F10/$F$10</f>
        <v>1</v>
      </c>
      <c r="I10" s="16"/>
      <c r="AF10" s="6"/>
      <c r="AG10" s="6"/>
      <c r="AH10" s="6"/>
      <c r="AI10" s="6"/>
      <c r="AJ10" s="6"/>
      <c r="AK10" s="3"/>
      <c r="AL10" s="6"/>
      <c r="AM10" s="7"/>
      <c r="AN10" s="6"/>
      <c r="AO10" s="6"/>
      <c r="AP10" s="6"/>
    </row>
    <row r="11" spans="2:42" ht="12.75">
      <c r="B11" s="21" t="s">
        <v>16</v>
      </c>
      <c r="C11" s="21"/>
      <c r="D11" s="21"/>
      <c r="E11" s="22">
        <f>SUM(E12:E16)</f>
        <v>0.2725</v>
      </c>
      <c r="F11" s="23">
        <f>SUM(F12:F16)</f>
        <v>-302475</v>
      </c>
      <c r="G11" s="22">
        <f>_xlfn.IFERROR(F11/$F$10,0)</f>
        <v>-0.2725</v>
      </c>
      <c r="I11" s="16"/>
      <c r="AF11" s="6"/>
      <c r="AG11" s="6"/>
      <c r="AH11" s="6"/>
      <c r="AI11" s="6"/>
      <c r="AJ11" s="6"/>
      <c r="AK11" s="3"/>
      <c r="AL11" s="6"/>
      <c r="AM11" s="7"/>
      <c r="AN11" s="6"/>
      <c r="AO11" s="6"/>
      <c r="AP11" s="6"/>
    </row>
    <row r="12" spans="2:42" ht="12.75">
      <c r="B12" s="2" t="s">
        <v>17</v>
      </c>
      <c r="E12" s="24">
        <v>0.18</v>
      </c>
      <c r="F12" s="25">
        <f aca="true" t="shared" si="0" ref="F12:F22">-$E12*$F$10</f>
        <v>-199800</v>
      </c>
      <c r="G12" s="26"/>
      <c r="I12" s="16"/>
      <c r="AF12" s="6"/>
      <c r="AG12" s="54"/>
      <c r="AH12" s="54"/>
      <c r="AI12" s="54"/>
      <c r="AJ12" s="54"/>
      <c r="AK12" s="54"/>
      <c r="AL12" s="54"/>
      <c r="AM12" s="54"/>
      <c r="AN12" s="54"/>
      <c r="AO12" s="27"/>
      <c r="AP12" s="6"/>
    </row>
    <row r="13" spans="2:42" ht="12.75">
      <c r="B13" s="2" t="s">
        <v>18</v>
      </c>
      <c r="E13" s="24">
        <v>0.0165</v>
      </c>
      <c r="F13" s="25">
        <f t="shared" si="0"/>
        <v>-18315</v>
      </c>
      <c r="G13" s="26"/>
      <c r="I13" s="16"/>
      <c r="AF13" s="6"/>
      <c r="AH13" s="6"/>
      <c r="AI13" s="6"/>
      <c r="AJ13" s="6"/>
      <c r="AK13" s="3"/>
      <c r="AL13" s="6"/>
      <c r="AM13" s="7"/>
      <c r="AN13" s="6"/>
      <c r="AO13" s="6"/>
      <c r="AP13" s="6"/>
    </row>
    <row r="14" spans="2:42" ht="12.75">
      <c r="B14" s="2" t="s">
        <v>19</v>
      </c>
      <c r="E14" s="24">
        <v>0.076</v>
      </c>
      <c r="F14" s="25">
        <f t="shared" si="0"/>
        <v>-84360</v>
      </c>
      <c r="G14" s="26"/>
      <c r="I14" s="16"/>
      <c r="AF14" s="6"/>
      <c r="AG14" s="8" t="s">
        <v>20</v>
      </c>
      <c r="AH14" s="8"/>
      <c r="AI14" s="8"/>
      <c r="AJ14" s="8">
        <f>+M4</f>
        <v>1500</v>
      </c>
      <c r="AK14" s="3"/>
      <c r="AL14" s="6"/>
      <c r="AM14" s="7"/>
      <c r="AN14" s="6"/>
      <c r="AO14" s="6"/>
      <c r="AP14" s="6"/>
    </row>
    <row r="15" spans="2:42" ht="12.75">
      <c r="B15" s="2" t="s">
        <v>21</v>
      </c>
      <c r="E15" s="24"/>
      <c r="F15" s="25">
        <f t="shared" si="0"/>
        <v>0</v>
      </c>
      <c r="G15" s="26"/>
      <c r="I15" s="16"/>
      <c r="AF15" s="6"/>
      <c r="AG15" s="6"/>
      <c r="AH15" s="6"/>
      <c r="AI15" s="6"/>
      <c r="AJ15" s="6"/>
      <c r="AK15" s="3"/>
      <c r="AL15" s="6"/>
      <c r="AM15" s="7"/>
      <c r="AN15" s="6"/>
      <c r="AO15" s="6"/>
      <c r="AP15" s="6"/>
    </row>
    <row r="16" spans="2:42" ht="12.75">
      <c r="B16" s="2" t="s">
        <v>22</v>
      </c>
      <c r="E16" s="24"/>
      <c r="F16" s="25">
        <f t="shared" si="0"/>
        <v>0</v>
      </c>
      <c r="G16" s="26"/>
      <c r="I16" s="16"/>
      <c r="AF16" s="6"/>
      <c r="AG16" s="36"/>
      <c r="AH16" s="36"/>
      <c r="AI16" s="36"/>
      <c r="AJ16" s="36"/>
      <c r="AK16" s="30"/>
      <c r="AL16" s="36"/>
      <c r="AM16" s="42"/>
      <c r="AN16" s="36"/>
      <c r="AO16" s="6"/>
      <c r="AP16" s="6"/>
    </row>
    <row r="17" spans="2:42" ht="12.75">
      <c r="B17" s="21" t="s">
        <v>23</v>
      </c>
      <c r="C17" s="21"/>
      <c r="D17" s="21"/>
      <c r="E17" s="41">
        <v>0.3</v>
      </c>
      <c r="F17" s="23">
        <f t="shared" si="0"/>
        <v>-333000</v>
      </c>
      <c r="G17" s="22">
        <f>_xlfn.IFERROR(F17/$F$10,0)</f>
        <v>-0.3</v>
      </c>
      <c r="I17" s="16"/>
      <c r="AF17" s="6"/>
      <c r="AG17" s="45"/>
      <c r="AH17" s="45"/>
      <c r="AI17" s="45"/>
      <c r="AJ17" s="45"/>
      <c r="AK17" s="46"/>
      <c r="AL17" s="45"/>
      <c r="AM17" s="43"/>
      <c r="AN17" s="36"/>
      <c r="AO17" s="6"/>
      <c r="AP17" s="6"/>
    </row>
    <row r="18" spans="5:42" s="16" customFormat="1" ht="12.75">
      <c r="E18" s="28"/>
      <c r="F18" s="29"/>
      <c r="G18" s="30"/>
      <c r="AF18" s="6"/>
      <c r="AG18" s="45" t="s">
        <v>36</v>
      </c>
      <c r="AH18" s="45" t="s">
        <v>8</v>
      </c>
      <c r="AI18" s="45" t="s">
        <v>24</v>
      </c>
      <c r="AJ18" s="46" t="s">
        <v>37</v>
      </c>
      <c r="AK18" s="45" t="s">
        <v>38</v>
      </c>
      <c r="AL18" s="45" t="s">
        <v>39</v>
      </c>
      <c r="AM18" s="36"/>
      <c r="AN18" s="6"/>
      <c r="AO18" s="6"/>
      <c r="AP18" s="2"/>
    </row>
    <row r="19" spans="2:41" ht="12.75">
      <c r="B19" s="21" t="s">
        <v>25</v>
      </c>
      <c r="C19" s="21"/>
      <c r="D19" s="21"/>
      <c r="E19" s="22">
        <f>SUM(E20:E22)</f>
        <v>0.1</v>
      </c>
      <c r="F19" s="23">
        <f>SUM(F20:F22)</f>
        <v>-111000</v>
      </c>
      <c r="G19" s="22">
        <f>_xlfn.IFERROR(F19/$F$10,0)</f>
        <v>-0.1</v>
      </c>
      <c r="H19" s="16"/>
      <c r="I19" s="16"/>
      <c r="AF19" s="6"/>
      <c r="AG19" s="47">
        <v>0</v>
      </c>
      <c r="AH19" s="47">
        <f>$S$5</f>
        <v>300000</v>
      </c>
      <c r="AI19" s="48">
        <f aca="true" t="shared" si="1" ref="AI19:AI47">(AG19*$S$6)</f>
        <v>0</v>
      </c>
      <c r="AJ19" s="49">
        <f aca="true" t="shared" si="2" ref="AJ19:AJ47">(AH19+AI19)</f>
        <v>300000</v>
      </c>
      <c r="AK19" s="48">
        <f>(AG19*$S$7)</f>
        <v>0</v>
      </c>
      <c r="AL19" s="48">
        <f aca="true" t="shared" si="3" ref="AL19:AL47">(AK19-AJ19)</f>
        <v>-300000</v>
      </c>
      <c r="AM19" s="36"/>
      <c r="AN19" s="6"/>
      <c r="AO19" s="6"/>
    </row>
    <row r="20" spans="2:41" ht="12.75">
      <c r="B20" s="2" t="s">
        <v>26</v>
      </c>
      <c r="E20" s="24">
        <v>0.05</v>
      </c>
      <c r="F20" s="25">
        <f t="shared" si="0"/>
        <v>-55500</v>
      </c>
      <c r="G20" s="26"/>
      <c r="H20" s="16"/>
      <c r="I20" s="16"/>
      <c r="AF20" s="6"/>
      <c r="AG20" s="47">
        <f aca="true" t="shared" si="4" ref="AG20:AG47">$AJ$14+AG19</f>
        <v>1500</v>
      </c>
      <c r="AH20" s="47">
        <f>+AH19</f>
        <v>300000</v>
      </c>
      <c r="AI20" s="48">
        <f t="shared" si="1"/>
        <v>37323.75</v>
      </c>
      <c r="AJ20" s="49">
        <f t="shared" si="2"/>
        <v>337323.75</v>
      </c>
      <c r="AK20" s="48">
        <f>(AG20*$S$7)</f>
        <v>55500</v>
      </c>
      <c r="AL20" s="48">
        <f t="shared" si="3"/>
        <v>-281823.75</v>
      </c>
      <c r="AM20" s="36"/>
      <c r="AN20" s="6"/>
      <c r="AO20" s="6"/>
    </row>
    <row r="21" spans="2:41" ht="12.75">
      <c r="B21" s="2" t="s">
        <v>27</v>
      </c>
      <c r="E21" s="24">
        <v>0.03</v>
      </c>
      <c r="F21" s="25">
        <f t="shared" si="0"/>
        <v>-33300</v>
      </c>
      <c r="G21" s="26"/>
      <c r="I21" s="16"/>
      <c r="AF21" s="6"/>
      <c r="AG21" s="47">
        <f t="shared" si="4"/>
        <v>3000</v>
      </c>
      <c r="AH21" s="47">
        <f aca="true" t="shared" si="5" ref="AH21:AH47">+AH20</f>
        <v>300000</v>
      </c>
      <c r="AI21" s="48">
        <f t="shared" si="1"/>
        <v>74647.5</v>
      </c>
      <c r="AJ21" s="49">
        <f t="shared" si="2"/>
        <v>374647.5</v>
      </c>
      <c r="AK21" s="48">
        <f aca="true" t="shared" si="6" ref="AK21:AK47">(AG21*$S$7)</f>
        <v>111000</v>
      </c>
      <c r="AL21" s="48">
        <f t="shared" si="3"/>
        <v>-263647.5</v>
      </c>
      <c r="AM21" s="36"/>
      <c r="AN21" s="6"/>
      <c r="AO21" s="6"/>
    </row>
    <row r="22" spans="2:41" ht="12.75">
      <c r="B22" s="2" t="s">
        <v>28</v>
      </c>
      <c r="E22" s="24">
        <v>0.02</v>
      </c>
      <c r="F22" s="25">
        <f t="shared" si="0"/>
        <v>-22200</v>
      </c>
      <c r="G22" s="26"/>
      <c r="I22" s="16"/>
      <c r="AF22" s="6"/>
      <c r="AG22" s="47">
        <f t="shared" si="4"/>
        <v>4500</v>
      </c>
      <c r="AH22" s="47">
        <f t="shared" si="5"/>
        <v>300000</v>
      </c>
      <c r="AI22" s="48">
        <f t="shared" si="1"/>
        <v>111971.25</v>
      </c>
      <c r="AJ22" s="49">
        <f t="shared" si="2"/>
        <v>411971.25</v>
      </c>
      <c r="AK22" s="48">
        <f t="shared" si="6"/>
        <v>166500</v>
      </c>
      <c r="AL22" s="48">
        <f t="shared" si="3"/>
        <v>-245471.25</v>
      </c>
      <c r="AM22" s="36"/>
      <c r="AN22" s="6"/>
      <c r="AO22" s="6"/>
    </row>
    <row r="23" spans="2:41" ht="12.75">
      <c r="B23" s="21" t="s">
        <v>29</v>
      </c>
      <c r="C23" s="21"/>
      <c r="D23" s="21"/>
      <c r="E23" s="22">
        <f>SUM(E12:E21)</f>
        <v>0.7525000000000001</v>
      </c>
      <c r="F23" s="23">
        <f>+F19+F17+F11</f>
        <v>-746475</v>
      </c>
      <c r="G23" s="22">
        <f>_xlfn.IFERROR(F23/$F$10,0)</f>
        <v>-0.6725</v>
      </c>
      <c r="H23" s="31">
        <f>-G23*F8</f>
        <v>24.8825</v>
      </c>
      <c r="I23" s="32" t="s">
        <v>30</v>
      </c>
      <c r="AF23" s="6"/>
      <c r="AG23" s="47">
        <f t="shared" si="4"/>
        <v>6000</v>
      </c>
      <c r="AH23" s="47">
        <f t="shared" si="5"/>
        <v>300000</v>
      </c>
      <c r="AI23" s="48">
        <f t="shared" si="1"/>
        <v>149295</v>
      </c>
      <c r="AJ23" s="49">
        <f t="shared" si="2"/>
        <v>449295</v>
      </c>
      <c r="AK23" s="48">
        <f t="shared" si="6"/>
        <v>222000</v>
      </c>
      <c r="AL23" s="48">
        <f t="shared" si="3"/>
        <v>-227295</v>
      </c>
      <c r="AM23" s="36"/>
      <c r="AN23" s="6"/>
      <c r="AO23" s="6"/>
    </row>
    <row r="24" spans="5:42" s="16" customFormat="1" ht="12.75">
      <c r="E24" s="33"/>
      <c r="F24" s="29"/>
      <c r="G24" s="30"/>
      <c r="AF24" s="6"/>
      <c r="AG24" s="47">
        <f t="shared" si="4"/>
        <v>7500</v>
      </c>
      <c r="AH24" s="47">
        <f t="shared" si="5"/>
        <v>300000</v>
      </c>
      <c r="AI24" s="48">
        <f t="shared" si="1"/>
        <v>186618.75</v>
      </c>
      <c r="AJ24" s="49">
        <f t="shared" si="2"/>
        <v>486618.75</v>
      </c>
      <c r="AK24" s="48">
        <f t="shared" si="6"/>
        <v>277500</v>
      </c>
      <c r="AL24" s="48">
        <f t="shared" si="3"/>
        <v>-209118.75</v>
      </c>
      <c r="AM24" s="36"/>
      <c r="AN24" s="6"/>
      <c r="AO24" s="6"/>
      <c r="AP24" s="2"/>
    </row>
    <row r="25" spans="2:41" ht="12.75">
      <c r="B25" s="18" t="s">
        <v>31</v>
      </c>
      <c r="C25" s="18"/>
      <c r="D25" s="18"/>
      <c r="E25" s="18"/>
      <c r="F25" s="19">
        <f>+F10+F23</f>
        <v>363525</v>
      </c>
      <c r="G25" s="20">
        <f>_xlfn.IFERROR(F25/$F$10,0)</f>
        <v>0.3275</v>
      </c>
      <c r="H25" s="31">
        <f>+F25/F9</f>
        <v>12.1175</v>
      </c>
      <c r="I25" s="32" t="s">
        <v>30</v>
      </c>
      <c r="AF25" s="6"/>
      <c r="AG25" s="47">
        <f t="shared" si="4"/>
        <v>9000</v>
      </c>
      <c r="AH25" s="47">
        <f t="shared" si="5"/>
        <v>300000</v>
      </c>
      <c r="AI25" s="48">
        <f t="shared" si="1"/>
        <v>223942.5</v>
      </c>
      <c r="AJ25" s="49">
        <f t="shared" si="2"/>
        <v>523942.5</v>
      </c>
      <c r="AK25" s="48">
        <f t="shared" si="6"/>
        <v>333000</v>
      </c>
      <c r="AL25" s="48">
        <f t="shared" si="3"/>
        <v>-190942.5</v>
      </c>
      <c r="AM25" s="36"/>
      <c r="AN25" s="6"/>
      <c r="AO25" s="6"/>
    </row>
    <row r="26" spans="2:41" ht="12.75">
      <c r="B26" s="2" t="s">
        <v>32</v>
      </c>
      <c r="F26" s="34">
        <v>-200000</v>
      </c>
      <c r="G26" s="26"/>
      <c r="I26" s="16"/>
      <c r="AF26" s="6"/>
      <c r="AG26" s="47">
        <f t="shared" si="4"/>
        <v>10500</v>
      </c>
      <c r="AH26" s="47">
        <f t="shared" si="5"/>
        <v>300000</v>
      </c>
      <c r="AI26" s="48">
        <f t="shared" si="1"/>
        <v>261266.25</v>
      </c>
      <c r="AJ26" s="49">
        <f t="shared" si="2"/>
        <v>561266.25</v>
      </c>
      <c r="AK26" s="48">
        <f t="shared" si="6"/>
        <v>388500</v>
      </c>
      <c r="AL26" s="48">
        <f t="shared" si="3"/>
        <v>-172766.25</v>
      </c>
      <c r="AM26" s="36"/>
      <c r="AN26" s="6"/>
      <c r="AO26" s="6"/>
    </row>
    <row r="27" spans="2:41" ht="12.75">
      <c r="B27" s="2" t="s">
        <v>33</v>
      </c>
      <c r="F27" s="35">
        <v>-100000</v>
      </c>
      <c r="G27" s="26"/>
      <c r="I27" s="16"/>
      <c r="AF27" s="6"/>
      <c r="AG27" s="47">
        <f t="shared" si="4"/>
        <v>12000</v>
      </c>
      <c r="AH27" s="47">
        <f t="shared" si="5"/>
        <v>300000</v>
      </c>
      <c r="AI27" s="48">
        <f t="shared" si="1"/>
        <v>298590</v>
      </c>
      <c r="AJ27" s="49">
        <f t="shared" si="2"/>
        <v>598590</v>
      </c>
      <c r="AK27" s="48">
        <f t="shared" si="6"/>
        <v>444000</v>
      </c>
      <c r="AL27" s="48">
        <f t="shared" si="3"/>
        <v>-154590</v>
      </c>
      <c r="AM27" s="36"/>
      <c r="AN27" s="6"/>
      <c r="AO27" s="6"/>
    </row>
    <row r="28" spans="2:41" ht="12.75">
      <c r="B28" s="21" t="s">
        <v>34</v>
      </c>
      <c r="C28" s="21"/>
      <c r="D28" s="21"/>
      <c r="E28" s="22"/>
      <c r="F28" s="23">
        <f>IF(SUM(F26:F27),SUM(F26:F27),"")</f>
        <v>-300000</v>
      </c>
      <c r="G28" s="22">
        <f>_xlfn.IFERROR(F28/$F$10,0)</f>
        <v>-0.2702702702702703</v>
      </c>
      <c r="H28" s="31">
        <f>_xlfn.IFERROR(-$F$8*G28,0)</f>
        <v>10</v>
      </c>
      <c r="I28" s="32" t="s">
        <v>30</v>
      </c>
      <c r="AF28" s="6"/>
      <c r="AG28" s="47">
        <f t="shared" si="4"/>
        <v>13500</v>
      </c>
      <c r="AH28" s="47">
        <f t="shared" si="5"/>
        <v>300000</v>
      </c>
      <c r="AI28" s="48">
        <f t="shared" si="1"/>
        <v>335913.75</v>
      </c>
      <c r="AJ28" s="49">
        <f t="shared" si="2"/>
        <v>635913.75</v>
      </c>
      <c r="AK28" s="48">
        <f t="shared" si="6"/>
        <v>499500</v>
      </c>
      <c r="AL28" s="48">
        <f t="shared" si="3"/>
        <v>-136413.75</v>
      </c>
      <c r="AM28" s="36"/>
      <c r="AN28" s="6"/>
      <c r="AO28" s="6"/>
    </row>
    <row r="29" spans="5:42" s="16" customFormat="1" ht="12.75">
      <c r="E29" s="33"/>
      <c r="F29" s="29"/>
      <c r="G29" s="30"/>
      <c r="AF29" s="6"/>
      <c r="AG29" s="47">
        <f t="shared" si="4"/>
        <v>15000</v>
      </c>
      <c r="AH29" s="47">
        <f t="shared" si="5"/>
        <v>300000</v>
      </c>
      <c r="AI29" s="48">
        <f t="shared" si="1"/>
        <v>373237.5</v>
      </c>
      <c r="AJ29" s="49">
        <f t="shared" si="2"/>
        <v>673237.5</v>
      </c>
      <c r="AK29" s="48">
        <f t="shared" si="6"/>
        <v>555000</v>
      </c>
      <c r="AL29" s="48">
        <f t="shared" si="3"/>
        <v>-118237.5</v>
      </c>
      <c r="AM29" s="36"/>
      <c r="AN29" s="6"/>
      <c r="AO29" s="6"/>
      <c r="AP29" s="2"/>
    </row>
    <row r="30" spans="2:41" ht="12.75">
      <c r="B30" s="18" t="s">
        <v>35</v>
      </c>
      <c r="C30" s="18"/>
      <c r="D30" s="18"/>
      <c r="E30" s="18"/>
      <c r="F30" s="19">
        <f>IF(SUM(F28),F25+F28,"")</f>
        <v>63525</v>
      </c>
      <c r="G30" s="20">
        <f>_xlfn.IFERROR(F30/$F$10,0)</f>
        <v>0.05722972972972973</v>
      </c>
      <c r="H30" s="31">
        <f>$F$8*G30</f>
        <v>2.1174999999999997</v>
      </c>
      <c r="I30" s="32" t="s">
        <v>30</v>
      </c>
      <c r="AF30" s="6"/>
      <c r="AG30" s="47">
        <f t="shared" si="4"/>
        <v>16500</v>
      </c>
      <c r="AH30" s="47">
        <f t="shared" si="5"/>
        <v>300000</v>
      </c>
      <c r="AI30" s="48">
        <f t="shared" si="1"/>
        <v>410561.25</v>
      </c>
      <c r="AJ30" s="49">
        <f t="shared" si="2"/>
        <v>710561.25</v>
      </c>
      <c r="AK30" s="48">
        <f t="shared" si="6"/>
        <v>610500</v>
      </c>
      <c r="AL30" s="48">
        <f t="shared" si="3"/>
        <v>-100061.25</v>
      </c>
      <c r="AM30" s="36"/>
      <c r="AN30" s="6"/>
      <c r="AO30" s="6"/>
    </row>
    <row r="31" spans="9:41" ht="12.75">
      <c r="I31" s="16"/>
      <c r="AF31" s="6"/>
      <c r="AG31" s="47">
        <f t="shared" si="4"/>
        <v>18000</v>
      </c>
      <c r="AH31" s="47">
        <f t="shared" si="5"/>
        <v>300000</v>
      </c>
      <c r="AI31" s="48">
        <f t="shared" si="1"/>
        <v>447885</v>
      </c>
      <c r="AJ31" s="49">
        <f t="shared" si="2"/>
        <v>747885</v>
      </c>
      <c r="AK31" s="48">
        <f t="shared" si="6"/>
        <v>666000</v>
      </c>
      <c r="AL31" s="48">
        <f t="shared" si="3"/>
        <v>-81885</v>
      </c>
      <c r="AM31" s="36"/>
      <c r="AN31" s="6"/>
      <c r="AO31" s="6"/>
    </row>
    <row r="32" spans="9:41" ht="12.75">
      <c r="I32" s="16"/>
      <c r="AF32" s="6"/>
      <c r="AG32" s="47">
        <f t="shared" si="4"/>
        <v>19500</v>
      </c>
      <c r="AH32" s="47">
        <f t="shared" si="5"/>
        <v>300000</v>
      </c>
      <c r="AI32" s="48">
        <f t="shared" si="1"/>
        <v>485208.75</v>
      </c>
      <c r="AJ32" s="49">
        <f t="shared" si="2"/>
        <v>785208.75</v>
      </c>
      <c r="AK32" s="48">
        <f t="shared" si="6"/>
        <v>721500</v>
      </c>
      <c r="AL32" s="48">
        <f t="shared" si="3"/>
        <v>-63708.75</v>
      </c>
      <c r="AM32" s="36"/>
      <c r="AN32" s="6"/>
      <c r="AO32" s="6"/>
    </row>
    <row r="33" spans="1:41" ht="12.75">
      <c r="A33" s="6"/>
      <c r="B33" s="6"/>
      <c r="C33" s="6"/>
      <c r="D33" s="6"/>
      <c r="E33" s="6"/>
      <c r="F33" s="6"/>
      <c r="H33" s="6"/>
      <c r="I33" s="36"/>
      <c r="J33" s="6"/>
      <c r="K33" s="6"/>
      <c r="L33" s="6"/>
      <c r="AF33" s="6"/>
      <c r="AG33" s="47">
        <f t="shared" si="4"/>
        <v>21000</v>
      </c>
      <c r="AH33" s="47">
        <f t="shared" si="5"/>
        <v>300000</v>
      </c>
      <c r="AI33" s="48">
        <f t="shared" si="1"/>
        <v>522532.5</v>
      </c>
      <c r="AJ33" s="49">
        <f t="shared" si="2"/>
        <v>822532.5</v>
      </c>
      <c r="AK33" s="48">
        <f t="shared" si="6"/>
        <v>777000</v>
      </c>
      <c r="AL33" s="48">
        <f t="shared" si="3"/>
        <v>-45532.5</v>
      </c>
      <c r="AM33" s="36"/>
      <c r="AN33" s="6"/>
      <c r="AO33" s="6"/>
    </row>
    <row r="34" spans="1:41" ht="12.75">
      <c r="A34" s="6"/>
      <c r="B34" s="6"/>
      <c r="C34" s="6"/>
      <c r="D34" s="6"/>
      <c r="E34" s="6"/>
      <c r="F34" s="6"/>
      <c r="H34" s="6"/>
      <c r="I34" s="36"/>
      <c r="J34" s="6"/>
      <c r="K34" s="6"/>
      <c r="L34" s="6"/>
      <c r="AF34" s="6"/>
      <c r="AG34" s="47">
        <f t="shared" si="4"/>
        <v>22500</v>
      </c>
      <c r="AH34" s="47">
        <f t="shared" si="5"/>
        <v>300000</v>
      </c>
      <c r="AI34" s="48">
        <f t="shared" si="1"/>
        <v>559856.25</v>
      </c>
      <c r="AJ34" s="49">
        <f t="shared" si="2"/>
        <v>859856.25</v>
      </c>
      <c r="AK34" s="48">
        <f t="shared" si="6"/>
        <v>832500</v>
      </c>
      <c r="AL34" s="48">
        <f t="shared" si="3"/>
        <v>-27356.25</v>
      </c>
      <c r="AM34" s="36"/>
      <c r="AN34" s="6"/>
      <c r="AO34" s="6"/>
    </row>
    <row r="35" spans="1:41" ht="12.75">
      <c r="A35" s="6"/>
      <c r="B35" s="6"/>
      <c r="C35" s="6"/>
      <c r="D35" s="6"/>
      <c r="E35" s="6"/>
      <c r="F35" s="6"/>
      <c r="H35" s="6"/>
      <c r="I35" s="6"/>
      <c r="J35" s="6"/>
      <c r="K35" s="6"/>
      <c r="L35" s="6"/>
      <c r="AF35" s="6"/>
      <c r="AG35" s="47">
        <f t="shared" si="4"/>
        <v>24000</v>
      </c>
      <c r="AH35" s="47">
        <f t="shared" si="5"/>
        <v>300000</v>
      </c>
      <c r="AI35" s="48">
        <f t="shared" si="1"/>
        <v>597180</v>
      </c>
      <c r="AJ35" s="49">
        <f t="shared" si="2"/>
        <v>897180</v>
      </c>
      <c r="AK35" s="48">
        <f t="shared" si="6"/>
        <v>888000</v>
      </c>
      <c r="AL35" s="48">
        <f t="shared" si="3"/>
        <v>-9180</v>
      </c>
      <c r="AM35" s="36"/>
      <c r="AN35" s="6"/>
      <c r="AO35" s="6"/>
    </row>
    <row r="36" spans="1:41" ht="12.75">
      <c r="A36" s="6"/>
      <c r="B36" s="6"/>
      <c r="C36" s="6"/>
      <c r="D36" s="6"/>
      <c r="E36" s="6"/>
      <c r="F36" s="6"/>
      <c r="H36" s="6"/>
      <c r="I36" s="6"/>
      <c r="J36" s="6"/>
      <c r="K36" s="6"/>
      <c r="L36" s="6"/>
      <c r="AF36" s="6"/>
      <c r="AG36" s="47">
        <f t="shared" si="4"/>
        <v>25500</v>
      </c>
      <c r="AH36" s="47">
        <f t="shared" si="5"/>
        <v>300000</v>
      </c>
      <c r="AI36" s="48">
        <f t="shared" si="1"/>
        <v>634503.75</v>
      </c>
      <c r="AJ36" s="49">
        <f t="shared" si="2"/>
        <v>934503.75</v>
      </c>
      <c r="AK36" s="48">
        <f t="shared" si="6"/>
        <v>943500</v>
      </c>
      <c r="AL36" s="48">
        <f t="shared" si="3"/>
        <v>8996.25</v>
      </c>
      <c r="AM36" s="6"/>
      <c r="AN36" s="6"/>
      <c r="AO36" s="6"/>
    </row>
    <row r="37" spans="1:41" ht="12.75">
      <c r="A37" s="6"/>
      <c r="B37" s="6"/>
      <c r="C37" s="6"/>
      <c r="D37" s="6"/>
      <c r="E37" s="6"/>
      <c r="F37" s="6"/>
      <c r="H37" s="6"/>
      <c r="I37" s="6"/>
      <c r="J37" s="6"/>
      <c r="K37" s="6"/>
      <c r="L37" s="6"/>
      <c r="AF37" s="6"/>
      <c r="AG37" s="47">
        <f t="shared" si="4"/>
        <v>27000</v>
      </c>
      <c r="AH37" s="47">
        <f t="shared" si="5"/>
        <v>300000</v>
      </c>
      <c r="AI37" s="48">
        <f t="shared" si="1"/>
        <v>671827.5</v>
      </c>
      <c r="AJ37" s="49">
        <f t="shared" si="2"/>
        <v>971827.5</v>
      </c>
      <c r="AK37" s="48">
        <f t="shared" si="6"/>
        <v>999000</v>
      </c>
      <c r="AL37" s="48">
        <f t="shared" si="3"/>
        <v>27172.5</v>
      </c>
      <c r="AM37" s="6"/>
      <c r="AN37" s="6"/>
      <c r="AO37" s="6"/>
    </row>
    <row r="38" spans="1:41" ht="12.75">
      <c r="A38" s="6"/>
      <c r="B38" s="6"/>
      <c r="C38" s="6"/>
      <c r="D38" s="6"/>
      <c r="E38" s="6"/>
      <c r="F38" s="6"/>
      <c r="H38" s="6"/>
      <c r="I38" s="6"/>
      <c r="J38" s="6"/>
      <c r="K38" s="6"/>
      <c r="L38" s="6"/>
      <c r="AF38" s="6"/>
      <c r="AG38" s="47">
        <f t="shared" si="4"/>
        <v>28500</v>
      </c>
      <c r="AH38" s="47">
        <f t="shared" si="5"/>
        <v>300000</v>
      </c>
      <c r="AI38" s="48">
        <f t="shared" si="1"/>
        <v>709151.25</v>
      </c>
      <c r="AJ38" s="49">
        <f t="shared" si="2"/>
        <v>1009151.25</v>
      </c>
      <c r="AK38" s="48">
        <f t="shared" si="6"/>
        <v>1054500</v>
      </c>
      <c r="AL38" s="48">
        <f t="shared" si="3"/>
        <v>45348.75</v>
      </c>
      <c r="AM38" s="6"/>
      <c r="AN38" s="6"/>
      <c r="AO38" s="6"/>
    </row>
    <row r="39" spans="1:41" ht="12.75">
      <c r="A39" s="6"/>
      <c r="B39" s="6"/>
      <c r="C39" s="6"/>
      <c r="D39" s="6"/>
      <c r="E39" s="6"/>
      <c r="F39" s="6"/>
      <c r="H39" s="6"/>
      <c r="I39" s="6"/>
      <c r="J39" s="6"/>
      <c r="K39" s="6"/>
      <c r="L39" s="6"/>
      <c r="AF39" s="6"/>
      <c r="AG39" s="47">
        <f t="shared" si="4"/>
        <v>30000</v>
      </c>
      <c r="AH39" s="47">
        <f t="shared" si="5"/>
        <v>300000</v>
      </c>
      <c r="AI39" s="48">
        <f t="shared" si="1"/>
        <v>746475</v>
      </c>
      <c r="AJ39" s="49">
        <f t="shared" si="2"/>
        <v>1046475</v>
      </c>
      <c r="AK39" s="48">
        <f t="shared" si="6"/>
        <v>1110000</v>
      </c>
      <c r="AL39" s="48">
        <f t="shared" si="3"/>
        <v>63525</v>
      </c>
      <c r="AM39" s="6"/>
      <c r="AN39" s="6"/>
      <c r="AO39" s="6"/>
    </row>
    <row r="40" spans="1:41" ht="12.75">
      <c r="A40" s="6"/>
      <c r="B40" s="6"/>
      <c r="C40" s="6"/>
      <c r="D40" s="6"/>
      <c r="E40" s="6"/>
      <c r="F40" s="6"/>
      <c r="H40" s="6"/>
      <c r="I40" s="6"/>
      <c r="J40" s="6"/>
      <c r="K40" s="6"/>
      <c r="L40" s="6"/>
      <c r="AF40" s="6"/>
      <c r="AG40" s="47">
        <f t="shared" si="4"/>
        <v>31500</v>
      </c>
      <c r="AH40" s="47">
        <f t="shared" si="5"/>
        <v>300000</v>
      </c>
      <c r="AI40" s="48">
        <f t="shared" si="1"/>
        <v>783798.75</v>
      </c>
      <c r="AJ40" s="49">
        <f t="shared" si="2"/>
        <v>1083798.75</v>
      </c>
      <c r="AK40" s="48">
        <f t="shared" si="6"/>
        <v>1165500</v>
      </c>
      <c r="AL40" s="48">
        <f t="shared" si="3"/>
        <v>81701.25</v>
      </c>
      <c r="AM40" s="6"/>
      <c r="AN40" s="6"/>
      <c r="AO40" s="6"/>
    </row>
    <row r="41" spans="1:41" ht="12.75">
      <c r="A41" s="6"/>
      <c r="B41" s="6"/>
      <c r="C41" s="6"/>
      <c r="D41" s="6"/>
      <c r="E41" s="6"/>
      <c r="F41" s="6"/>
      <c r="H41" s="6"/>
      <c r="I41" s="6"/>
      <c r="J41" s="6"/>
      <c r="K41" s="6"/>
      <c r="L41" s="6"/>
      <c r="AF41" s="6"/>
      <c r="AG41" s="47">
        <f t="shared" si="4"/>
        <v>33000</v>
      </c>
      <c r="AH41" s="47">
        <f t="shared" si="5"/>
        <v>300000</v>
      </c>
      <c r="AI41" s="48">
        <f t="shared" si="1"/>
        <v>821122.5</v>
      </c>
      <c r="AJ41" s="49">
        <f t="shared" si="2"/>
        <v>1121122.5</v>
      </c>
      <c r="AK41" s="48">
        <f t="shared" si="6"/>
        <v>1221000</v>
      </c>
      <c r="AL41" s="48">
        <f t="shared" si="3"/>
        <v>99877.5</v>
      </c>
      <c r="AM41" s="6"/>
      <c r="AN41" s="6"/>
      <c r="AO41" s="6"/>
    </row>
    <row r="42" spans="1:41" ht="12.75">
      <c r="A42" s="6"/>
      <c r="B42" s="6"/>
      <c r="C42" s="6"/>
      <c r="D42" s="6"/>
      <c r="E42" s="6"/>
      <c r="F42" s="6"/>
      <c r="H42" s="6"/>
      <c r="I42" s="6"/>
      <c r="J42" s="6"/>
      <c r="K42" s="6"/>
      <c r="L42" s="6"/>
      <c r="AF42" s="6"/>
      <c r="AG42" s="47">
        <f t="shared" si="4"/>
        <v>34500</v>
      </c>
      <c r="AH42" s="47">
        <f t="shared" si="5"/>
        <v>300000</v>
      </c>
      <c r="AI42" s="48">
        <f t="shared" si="1"/>
        <v>858446.25</v>
      </c>
      <c r="AJ42" s="49">
        <f t="shared" si="2"/>
        <v>1158446.25</v>
      </c>
      <c r="AK42" s="48">
        <f t="shared" si="6"/>
        <v>1276500</v>
      </c>
      <c r="AL42" s="48">
        <f t="shared" si="3"/>
        <v>118053.75</v>
      </c>
      <c r="AM42" s="6"/>
      <c r="AN42" s="6"/>
      <c r="AO42" s="6"/>
    </row>
    <row r="43" spans="1:41" ht="12.75">
      <c r="A43" s="6"/>
      <c r="B43" s="6"/>
      <c r="C43" s="6"/>
      <c r="D43" s="6"/>
      <c r="E43" s="6"/>
      <c r="F43" s="6"/>
      <c r="H43" s="6"/>
      <c r="I43" s="6"/>
      <c r="J43" s="6"/>
      <c r="K43" s="6"/>
      <c r="L43" s="6"/>
      <c r="AF43" s="6"/>
      <c r="AG43" s="47">
        <f t="shared" si="4"/>
        <v>36000</v>
      </c>
      <c r="AH43" s="47">
        <f t="shared" si="5"/>
        <v>300000</v>
      </c>
      <c r="AI43" s="48">
        <f t="shared" si="1"/>
        <v>895770</v>
      </c>
      <c r="AJ43" s="49">
        <f t="shared" si="2"/>
        <v>1195770</v>
      </c>
      <c r="AK43" s="48">
        <f t="shared" si="6"/>
        <v>1332000</v>
      </c>
      <c r="AL43" s="48">
        <f t="shared" si="3"/>
        <v>136230</v>
      </c>
      <c r="AM43" s="6"/>
      <c r="AN43" s="6"/>
      <c r="AO43" s="6"/>
    </row>
    <row r="44" spans="1:41" ht="12.75">
      <c r="A44" s="6"/>
      <c r="B44" s="6"/>
      <c r="C44" s="6"/>
      <c r="D44" s="6"/>
      <c r="E44" s="6"/>
      <c r="F44" s="6"/>
      <c r="H44" s="6"/>
      <c r="I44" s="6"/>
      <c r="J44" s="6"/>
      <c r="K44" s="6"/>
      <c r="L44" s="6"/>
      <c r="AF44" s="6"/>
      <c r="AG44" s="47">
        <f t="shared" si="4"/>
        <v>37500</v>
      </c>
      <c r="AH44" s="47">
        <f t="shared" si="5"/>
        <v>300000</v>
      </c>
      <c r="AI44" s="48">
        <f t="shared" si="1"/>
        <v>933093.75</v>
      </c>
      <c r="AJ44" s="49">
        <f t="shared" si="2"/>
        <v>1233093.75</v>
      </c>
      <c r="AK44" s="48">
        <f t="shared" si="6"/>
        <v>1387500</v>
      </c>
      <c r="AL44" s="48">
        <f t="shared" si="3"/>
        <v>154406.25</v>
      </c>
      <c r="AM44" s="6"/>
      <c r="AN44" s="6"/>
      <c r="AO44" s="6"/>
    </row>
    <row r="45" spans="1:41" ht="12.75">
      <c r="A45" s="6"/>
      <c r="B45" s="6"/>
      <c r="C45" s="6"/>
      <c r="D45" s="6"/>
      <c r="E45" s="6"/>
      <c r="F45" s="6"/>
      <c r="H45" s="6"/>
      <c r="I45" s="6"/>
      <c r="J45" s="6"/>
      <c r="K45" s="6"/>
      <c r="L45" s="6"/>
      <c r="AF45" s="6"/>
      <c r="AG45" s="47">
        <f t="shared" si="4"/>
        <v>39000</v>
      </c>
      <c r="AH45" s="47">
        <f t="shared" si="5"/>
        <v>300000</v>
      </c>
      <c r="AI45" s="48">
        <f t="shared" si="1"/>
        <v>970417.5</v>
      </c>
      <c r="AJ45" s="49">
        <f t="shared" si="2"/>
        <v>1270417.5</v>
      </c>
      <c r="AK45" s="48">
        <f t="shared" si="6"/>
        <v>1443000</v>
      </c>
      <c r="AL45" s="48">
        <f t="shared" si="3"/>
        <v>172582.5</v>
      </c>
      <c r="AM45" s="6"/>
      <c r="AN45" s="6"/>
      <c r="AO45" s="6"/>
    </row>
    <row r="46" spans="1:41" ht="12.75">
      <c r="A46" s="6"/>
      <c r="B46" s="6"/>
      <c r="C46" s="6"/>
      <c r="D46" s="6"/>
      <c r="E46" s="6"/>
      <c r="F46" s="6"/>
      <c r="H46" s="6"/>
      <c r="I46" s="6"/>
      <c r="J46" s="6"/>
      <c r="K46" s="6"/>
      <c r="L46" s="6"/>
      <c r="AF46" s="6"/>
      <c r="AG46" s="47">
        <f t="shared" si="4"/>
        <v>40500</v>
      </c>
      <c r="AH46" s="47">
        <f t="shared" si="5"/>
        <v>300000</v>
      </c>
      <c r="AI46" s="48">
        <f t="shared" si="1"/>
        <v>1007741.25</v>
      </c>
      <c r="AJ46" s="49">
        <f t="shared" si="2"/>
        <v>1307741.25</v>
      </c>
      <c r="AK46" s="48">
        <f t="shared" si="6"/>
        <v>1498500</v>
      </c>
      <c r="AL46" s="48">
        <f t="shared" si="3"/>
        <v>190758.75</v>
      </c>
      <c r="AM46" s="6"/>
      <c r="AN46" s="6"/>
      <c r="AO46" s="6"/>
    </row>
    <row r="47" spans="1:41" ht="12.75">
      <c r="A47" s="6"/>
      <c r="B47" s="6"/>
      <c r="C47" s="6"/>
      <c r="D47" s="6"/>
      <c r="E47" s="6"/>
      <c r="F47" s="6"/>
      <c r="H47" s="6"/>
      <c r="I47" s="6"/>
      <c r="J47" s="6"/>
      <c r="K47" s="6"/>
      <c r="L47" s="6"/>
      <c r="AF47" s="6"/>
      <c r="AG47" s="47">
        <f t="shared" si="4"/>
        <v>42000</v>
      </c>
      <c r="AH47" s="47">
        <f t="shared" si="5"/>
        <v>300000</v>
      </c>
      <c r="AI47" s="48">
        <f t="shared" si="1"/>
        <v>1045065</v>
      </c>
      <c r="AJ47" s="49">
        <f t="shared" si="2"/>
        <v>1345065</v>
      </c>
      <c r="AK47" s="48">
        <f t="shared" si="6"/>
        <v>1554000</v>
      </c>
      <c r="AL47" s="48">
        <f t="shared" si="3"/>
        <v>208935</v>
      </c>
      <c r="AM47" s="6"/>
      <c r="AN47" s="6"/>
      <c r="AO47" s="6"/>
    </row>
    <row r="48" spans="1:37" ht="12.75">
      <c r="A48" s="6"/>
      <c r="B48" s="6"/>
      <c r="C48" s="6"/>
      <c r="D48" s="6"/>
      <c r="E48" s="6"/>
      <c r="F48" s="6"/>
      <c r="H48" s="6"/>
      <c r="I48" s="6"/>
      <c r="J48" s="6"/>
      <c r="K48" s="6"/>
      <c r="L48" s="6"/>
      <c r="AK48" s="3"/>
    </row>
    <row r="49" spans="1:37" ht="12.75">
      <c r="A49" s="6"/>
      <c r="B49" s="6"/>
      <c r="C49" s="6"/>
      <c r="D49" s="6"/>
      <c r="E49" s="6"/>
      <c r="F49" s="6"/>
      <c r="H49" s="6"/>
      <c r="I49" s="6"/>
      <c r="J49" s="6"/>
      <c r="K49" s="6"/>
      <c r="L49" s="6"/>
      <c r="AK49" s="3"/>
    </row>
    <row r="50" ht="12.75">
      <c r="A50" s="6"/>
    </row>
    <row r="51" ht="12.75">
      <c r="A51" s="6"/>
    </row>
    <row r="52" ht="12.75">
      <c r="A52" s="6"/>
    </row>
    <row r="53" ht="12.75">
      <c r="A53" s="6"/>
    </row>
    <row r="54" ht="12.75">
      <c r="A54" s="6"/>
    </row>
    <row r="55" ht="12.75">
      <c r="A55" s="6"/>
    </row>
    <row r="56" ht="12.75">
      <c r="A56" s="6"/>
    </row>
    <row r="57" ht="12.75">
      <c r="A57" s="6"/>
    </row>
    <row r="58" ht="12.75">
      <c r="A58" s="6"/>
    </row>
    <row r="59" ht="12.75">
      <c r="A59" s="6"/>
    </row>
    <row r="60" ht="12.75">
      <c r="A60" s="6"/>
    </row>
    <row r="61" ht="12.75">
      <c r="A61" s="6"/>
    </row>
    <row r="62" ht="12.75">
      <c r="A62" s="6"/>
    </row>
    <row r="63" ht="12.75">
      <c r="A63" s="6"/>
    </row>
    <row r="64" ht="12.75">
      <c r="A64" s="6"/>
    </row>
    <row r="65" ht="12.75">
      <c r="A65" s="6"/>
    </row>
    <row r="66" ht="12.75">
      <c r="A66" s="6"/>
    </row>
    <row r="67" ht="12.75">
      <c r="A67" s="6"/>
    </row>
    <row r="68" ht="12.75">
      <c r="A68" s="6"/>
    </row>
    <row r="69" ht="12.75">
      <c r="A69" s="6"/>
    </row>
    <row r="70" ht="12.75">
      <c r="A70" s="6"/>
    </row>
    <row r="71" ht="12.75">
      <c r="A71" s="6"/>
    </row>
    <row r="72" ht="12.75">
      <c r="A72" s="6"/>
    </row>
    <row r="73" ht="12.75">
      <c r="A73" s="6"/>
    </row>
    <row r="74" ht="12.75">
      <c r="A74" s="6"/>
    </row>
    <row r="75" ht="12.75">
      <c r="A75" s="6"/>
    </row>
    <row r="76" ht="12.75">
      <c r="A76" s="6"/>
    </row>
    <row r="77" ht="12.75">
      <c r="A77" s="6"/>
    </row>
    <row r="78" ht="12.75">
      <c r="A78" s="6"/>
    </row>
    <row r="79" ht="12.75">
      <c r="A79" s="6"/>
    </row>
    <row r="80" ht="12.75">
      <c r="A80" s="6"/>
    </row>
    <row r="81" ht="12.75">
      <c r="A81" s="6"/>
    </row>
    <row r="82" ht="12.75">
      <c r="A82" s="6"/>
    </row>
    <row r="83" ht="12.75">
      <c r="A83" s="6"/>
    </row>
    <row r="84" ht="12.75">
      <c r="A84" s="6"/>
    </row>
    <row r="85" ht="12.75">
      <c r="A85" s="6"/>
    </row>
    <row r="86" ht="12.75">
      <c r="A86" s="6"/>
    </row>
    <row r="87" ht="12.75">
      <c r="A87" s="6"/>
    </row>
    <row r="88" ht="12.75">
      <c r="A88" s="6"/>
    </row>
    <row r="89" ht="12.75">
      <c r="A89" s="6"/>
    </row>
    <row r="90" ht="12.75">
      <c r="A90" s="6"/>
    </row>
    <row r="91" ht="12.75">
      <c r="A91" s="6"/>
    </row>
    <row r="92" ht="12.75">
      <c r="A92" s="6"/>
    </row>
    <row r="93" ht="12.75">
      <c r="A93" s="6"/>
    </row>
    <row r="94" ht="12.75">
      <c r="A94" s="6"/>
    </row>
    <row r="95" ht="12.75">
      <c r="A95" s="6"/>
    </row>
    <row r="96" ht="12.75">
      <c r="A96" s="6"/>
    </row>
  </sheetData>
  <sheetProtection password="EFC6" sheet="1"/>
  <mergeCells count="2">
    <mergeCell ref="AG12:AN12"/>
    <mergeCell ref="B5:H5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Valini Neto</dc:creator>
  <cp:keywords/>
  <dc:description/>
  <cp:lastModifiedBy>Luis Valini Neto</cp:lastModifiedBy>
  <dcterms:created xsi:type="dcterms:W3CDTF">2018-09-28T18:47:28Z</dcterms:created>
  <dcterms:modified xsi:type="dcterms:W3CDTF">2018-10-02T20:58:29Z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